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7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tric" sheetId="1" r:id="rId3"/>
    <sheet state="visible" name="Trends" sheetId="2" r:id="rId4"/>
    <sheet state="visible" name="Aircraft W+B" sheetId="3" r:id="rId5"/>
    <sheet state="visible" name="Systems Param+Perf" sheetId="4" r:id="rId6"/>
    <sheet state="visible" name="Aerodynamic Perf" sheetId="5" r:id="rId7"/>
    <sheet state="visible" name="Performance Calculator" sheetId="6" r:id="rId8"/>
    <sheet state="visible" name="Cruise Mission Trends" sheetId="7" r:id="rId9"/>
    <sheet state="visible" name="Motor Options" sheetId="8" r:id="rId10"/>
    <sheet state="visible" name="Requirements" sheetId="9" r:id="rId11"/>
    <sheet state="visible" name="Purchasing Sheet" sheetId="10" r:id="rId12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">
      <text>
        <t xml:space="preserve">Enter your Endurance Requirement here. If endurance isn't your goal, set it to zero.</t>
      </text>
    </comment>
    <comment authorId="0" ref="F5">
      <text>
        <t xml:space="preserve">See the Typical Wing Loading reference table.</t>
      </text>
    </comment>
    <comment authorId="0" ref="B6">
      <text>
        <t xml:space="preserve">Enter your Range Requirement here. If Range isn't your goal, set it to zero.</t>
      </text>
    </comment>
    <comment authorId="0" ref="J6">
      <text>
        <t xml:space="preserve">Compare to Mass Fraction reference table
Mf=(battery+payload)/total</t>
      </text>
    </comment>
    <comment authorId="0" ref="B7">
      <text>
        <t xml:space="preserve">The difference between the Cruise Airspeed and the Min Airspeed.</t>
      </text>
    </comment>
    <comment authorId="0" ref="J7">
      <text>
        <t xml:space="preserve">The minimum drag airspeed is very close the maximum range airspeed and can be helpful in deciding at what airspeed to fly.</t>
      </text>
    </comment>
    <comment authorId="0" ref="F8">
      <text>
        <t xml:space="preserve">Oswald Efficiency is a parameter that we will not be exploring in great detail. 0.85 is a great place to start for preliminary design.</t>
      </text>
    </comment>
    <comment authorId="0" ref="J8">
      <text>
        <t xml:space="preserve">The minimum power airspeed is also the airspeed that should be used to maximize flight time (endurance).</t>
      </text>
    </comment>
    <comment authorId="0" ref="J9">
      <text>
        <t xml:space="preserve">This is a rough estimation of the stall speed. It is a strong function of the Max Lift Coefficient.
</t>
      </text>
    </comment>
    <comment authorId="0" ref="F14">
      <text>
        <t xml:space="preserve">This directly affects Min Airspeed. One quick way to estimate it is to multiply the main wing airfoil's max lift coefficient by 0.8.</t>
      </text>
    </comment>
    <comment authorId="0" ref="B15">
      <text>
        <t xml:space="preserve">This is the weight of everything except the flight batteries and the payload.</t>
      </text>
    </comment>
    <comment authorId="0" ref="B17">
      <text>
        <t xml:space="preserve">This is a value that is difficult to estimate. Use 0.03 to get started. </t>
      </text>
    </comment>
    <comment authorId="0" ref="B18">
      <text>
        <t xml:space="preserve">This is a value that is difficult to estimate. Use 0.015 to get started. The estimate can be improved with MachUp.</t>
      </text>
    </comment>
    <comment authorId="0" ref="F19">
      <text>
        <t xml:space="preserve">Distance from the aircraft center of gravity to the quarter chord of the horizontal stabilizer.</t>
      </text>
    </comment>
    <comment authorId="0" ref="J19">
      <text>
        <t xml:space="preserve">The difference between the Cruise Airspeed and the Min Airspeed.</t>
      </text>
    </comment>
    <comment authorId="0" ref="B24">
      <text>
        <t xml:space="preserve">See the Cell Voltage reference table</t>
      </text>
    </comment>
    <comment authorId="0" ref="F24">
      <text>
        <t xml:space="preserve">The quarter-chord sweep required to make the trailing edge (TE) straight. This may or may not be helpful, depending on your sweep preferences and will be used later in MachUp.</t>
      </text>
    </comment>
    <comment authorId="0" ref="B28">
      <text>
        <t xml:space="preserve">Voltage = Cell Voltage x Cells in Series</t>
      </text>
    </comment>
    <comment authorId="0" ref="B29">
      <text>
        <t xml:space="preserve">Very dependendent on Energy Density. To match the weight of the actually batteries you chose, change the Energy Density value until this weight is correct. </t>
      </text>
    </comment>
    <comment authorId="0" ref="B30">
      <text>
        <t xml:space="preserve">The percentage of the total capacity used before landing. Exceeding 90% will likely damage the batteries. </t>
      </text>
    </comment>
    <comment authorId="0" ref="F30">
      <text>
        <t xml:space="preserve">Distance from the aircraft center of gravity to the quarter chord of the vertical stabilizer.</t>
      </text>
    </comment>
    <comment authorId="0" ref="B31">
      <text>
        <t xml:space="preserve">This is the Overall Efficiency of the propulsion system. 40% is a good place to start for just putting components together. With more effort this value could be more than 60%.</t>
      </text>
    </comment>
    <comment authorId="0" ref="F31">
      <text>
        <t xml:space="preserve">This is the height of the Vertical Stabilizer.</t>
      </text>
    </comment>
    <comment authorId="0" ref="B32">
      <text>
        <t xml:space="preserve">The Propulsive Power after applying the overall efficiency.</t>
      </text>
    </comment>
    <comment authorId="0" ref="B33">
      <text>
        <t xml:space="preserve">This is the current draw of the motor</t>
      </text>
    </comment>
    <comment authorId="0" ref="A1">
      <text>
        <t xml:space="preserve">This sheet is NOT being used for this aircraft. I'm using it as the basis over which I'm building ours, which makes up the later sheets.
	-Deleted user
----
Is this number correct?
	-Deleted user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This sheet is NOT being used for this aircraft. I'm using it as the basis over which I'm building ours, which makes up the later sheets.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6">
      <text>
        <t xml:space="preserve">This is a value that is difficult to estimate. Use 0.015 to get started. The estimate can be improved with MachUp.</t>
      </text>
    </comment>
    <comment authorId="0" ref="B21">
      <text>
        <t xml:space="preserve">This is the weight of everything except the flight batteries and the payload.</t>
      </text>
    </comment>
    <comment authorId="0" ref="B24">
      <text>
        <t xml:space="preserve">This is a value that is difficult to estimate. Use 0.03 to get started. 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3">
      <text>
        <t xml:space="preserve">See the Cell Voltage reference table</t>
      </text>
    </comment>
    <comment authorId="0" ref="B37">
      <text>
        <t xml:space="preserve">Voltage = Cell Voltage x Cells in Series</t>
      </text>
    </comment>
    <comment authorId="0" ref="B38">
      <text>
        <t xml:space="preserve">Very dependendent on Energy Density. To match the weight of the actually batteries you chose, change the Energy Density value until this weight is correct. </t>
      </text>
    </comment>
    <comment authorId="0" ref="B39">
      <text>
        <t xml:space="preserve">The percentage of the total capacity used before landing. Exceeding 90% will likely damage the batteries. 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5">
      <text>
        <t xml:space="preserve">This is a value that is difficult to estimate. Use 0.015 to get started. The estimate can be improved with MachUp.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Enter your Endurance Requirement here. If endurance isn't your goal, set it to zero.</t>
      </text>
    </comment>
    <comment authorId="0" ref="A3">
      <text>
        <t xml:space="preserve">Enter your Range Requirement here. If Range isn't your goal, set it to zero.</t>
      </text>
    </comment>
    <comment authorId="0" ref="A4">
      <text>
        <t xml:space="preserve">The difference between the Cruise Airspeed and the Min Airspeed.</t>
      </text>
    </comment>
    <comment authorId="0" ref="A25">
      <text>
        <t xml:space="preserve">Enter your Endurance Requirement here. If endurance isn't your goal, set it to zero.</t>
      </text>
    </comment>
    <comment authorId="0" ref="A31">
      <text>
        <t xml:space="preserve">In this mission, the aircraft takes off and lands conventionally and flies out some radius to the destination, where it must hover for some time.</t>
      </text>
    </comment>
    <comment authorId="0" ref="A32">
      <text>
        <t xml:space="preserve">This is the time that the vehicle must hover at the destination.</t>
      </text>
    </comment>
    <comment authorId="0" ref="A33">
      <text>
        <t xml:space="preserve">Enter your Endurance Requirement here. If endurance isn't your goal, set it to zero.</t>
      </text>
    </comment>
    <comment authorId="0" ref="A34">
      <text>
        <t xml:space="preserve">Enter your Range Requirement here. If Range isn't your goal, set it to zero.</t>
      </text>
    </comment>
    <comment authorId="0" ref="A36">
      <text>
        <t xml:space="preserve">In this mission, the aircraft takes off and lands conventionally and flies out some radius to the destination, where it must hover for some time.</t>
      </text>
    </comment>
    <comment authorId="0" ref="A38">
      <text>
        <t xml:space="preserve">This is the time that the vehicle must hover at the destination. Be sure to include transition time.</t>
      </text>
    </comment>
    <comment authorId="0" ref="A39">
      <text>
        <t xml:space="preserve">Enter your Endurance Requirement here. If endurance isn't your goal, set it to zero.</t>
      </text>
    </comment>
    <comment authorId="0" ref="A40">
      <text>
        <t xml:space="preserve">Enter your Range Requirement here. If Range isn't your goal, set it to zero.</t>
      </text>
    </comment>
    <comment authorId="0" ref="A41">
      <text>
        <t xml:space="preserve">The difference between the Cruise Airspeed and the Min Airspeed.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">
      <text>
        <t xml:space="preserve">Enter your Endurance Requirement here. If endurance isn't your goal, set it to zero.</t>
      </text>
    </comment>
    <comment authorId="0" ref="B4">
      <text>
        <t xml:space="preserve">Enter your Range Requirement here. If Range isn't your goal, set it to zero.</t>
      </text>
    </comment>
    <comment authorId="0" ref="B5">
      <text>
        <t xml:space="preserve">The difference between the Cruise Airspeed and the Min Airspeed.</t>
      </text>
    </comment>
    <comment authorId="0" ref="B10">
      <text>
        <t xml:space="preserve">Enter your Endurance Requirement here. If endurance isn't your goal, set it to zero.</t>
      </text>
    </comment>
    <comment authorId="0" ref="B12">
      <text>
        <t xml:space="preserve">In this mission, the aircraft takes off and lands conventionally and flies out some radius to the destination, where it must hover for some time.</t>
      </text>
    </comment>
    <comment authorId="0" ref="B13">
      <text>
        <t xml:space="preserve">This is the time that the vehicle must hover at the destination.</t>
      </text>
    </comment>
    <comment authorId="0" ref="B14">
      <text>
        <t xml:space="preserve">Enter your Endurance Requirement here. If endurance isn't your goal, set it to zero.</t>
      </text>
    </comment>
    <comment authorId="0" ref="B15">
      <text>
        <t xml:space="preserve">Enter your Range Requirement here. If Range isn't your goal, set it to zero.</t>
      </text>
    </comment>
    <comment authorId="0" ref="B17">
      <text>
        <t xml:space="preserve">In this mission, the aircraft takes off and lands conventionally and flies out some radius to the destination, where it must hover for some time.</t>
      </text>
    </comment>
    <comment authorId="0" ref="B19">
      <text>
        <t xml:space="preserve">This is the time that the vehicle must hover at the destination. Be sure to include transition time.</t>
      </text>
    </comment>
    <comment authorId="0" ref="B20">
      <text>
        <t xml:space="preserve">Enter your Endurance Requirement here. If endurance isn't your goal, set it to zero.</t>
      </text>
    </comment>
    <comment authorId="0" ref="B21">
      <text>
        <t xml:space="preserve">Enter your Range Requirement here. If Range isn't your goal, set it to zero.</t>
      </text>
    </comment>
    <comment authorId="0" ref="B22">
      <text>
        <t xml:space="preserve">The difference between the Cruise Airspeed and the Min Airspeed.</t>
      </text>
    </comment>
  </commentList>
</comments>
</file>

<file path=xl/sharedStrings.xml><?xml version="1.0" encoding="utf-8"?>
<sst xmlns="http://schemas.openxmlformats.org/spreadsheetml/2006/main" count="526" uniqueCount="300">
  <si>
    <t>............+</t>
  </si>
  <si>
    <t>Edit</t>
  </si>
  <si>
    <t>Values for MachUp</t>
  </si>
  <si>
    <t>Calculation (Dont Edit)</t>
  </si>
  <si>
    <t>Mission Requirements</t>
  </si>
  <si>
    <t>Main Wing</t>
  </si>
  <si>
    <t>General Results</t>
  </si>
  <si>
    <t>Typical Wing Loading</t>
  </si>
  <si>
    <t>Endurance</t>
  </si>
  <si>
    <t>min</t>
  </si>
  <si>
    <t>Wing Loading</t>
  </si>
  <si>
    <t>g/dm²</t>
  </si>
  <si>
    <t>Total Mass</t>
  </si>
  <si>
    <t>kg</t>
  </si>
  <si>
    <t>Glider</t>
  </si>
  <si>
    <t>Range</t>
  </si>
  <si>
    <t>km</t>
  </si>
  <si>
    <t>Aspect Ratio</t>
  </si>
  <si>
    <t>Mass Fraction</t>
  </si>
  <si>
    <t>%</t>
  </si>
  <si>
    <t>Trainer</t>
  </si>
  <si>
    <t>Stall Margin</t>
  </si>
  <si>
    <t>m/s</t>
  </si>
  <si>
    <t>Taper Ratio</t>
  </si>
  <si>
    <t>Min Drag Airspeed</t>
  </si>
  <si>
    <t>km/h</t>
  </si>
  <si>
    <t>mph</t>
  </si>
  <si>
    <t>Sport Plane</t>
  </si>
  <si>
    <t>Min Airspeed</t>
  </si>
  <si>
    <t>Oswald Efficiency</t>
  </si>
  <si>
    <t>Min Power Airspeed</t>
  </si>
  <si>
    <t>Fighters</t>
  </si>
  <si>
    <t>Wing Area</t>
  </si>
  <si>
    <t>m²</t>
  </si>
  <si>
    <t>Min Airspeed (Stall Onset)</t>
  </si>
  <si>
    <t>Payload</t>
  </si>
  <si>
    <t>Semispan</t>
  </si>
  <si>
    <t>m</t>
  </si>
  <si>
    <t>Payload Weight</t>
  </si>
  <si>
    <t>Root Chord</t>
  </si>
  <si>
    <t>Condition Results</t>
  </si>
  <si>
    <t>Payload Power</t>
  </si>
  <si>
    <t>W</t>
  </si>
  <si>
    <t>Tip Chord</t>
  </si>
  <si>
    <t>Cruise Airspeed</t>
  </si>
  <si>
    <t>Average Chord</t>
  </si>
  <si>
    <t>Lift Coefficient</t>
  </si>
  <si>
    <t xml:space="preserve">      Lift </t>
  </si>
  <si>
    <t>Aircraft</t>
  </si>
  <si>
    <t>Max Lift Coefficient</t>
  </si>
  <si>
    <t>Drag Coefficient</t>
  </si>
  <si>
    <t xml:space="preserve">      Drag</t>
  </si>
  <si>
    <t>Mass Fractions</t>
  </si>
  <si>
    <t>Airframe Weight</t>
  </si>
  <si>
    <t>Banner Height</t>
  </si>
  <si>
    <t>ft</t>
  </si>
  <si>
    <t>Avionics Power</t>
  </si>
  <si>
    <t>Banner Length</t>
  </si>
  <si>
    <t>Composite</t>
  </si>
  <si>
    <t>50 - 90</t>
  </si>
  <si>
    <t>Fuselage Drag Coeff.</t>
  </si>
  <si>
    <t>Horizontal Stabilizer</t>
  </si>
  <si>
    <t>Banner Drag</t>
  </si>
  <si>
    <t>N</t>
  </si>
  <si>
    <t>Balsa</t>
  </si>
  <si>
    <t>35 - 50</t>
  </si>
  <si>
    <t>Zero Lift Drag Coeff.</t>
  </si>
  <si>
    <t>Volume Ratio (0.3 - 0.6)</t>
  </si>
  <si>
    <t>Lift to Drag Ratio (L/D)</t>
  </si>
  <si>
    <t>w/tow</t>
  </si>
  <si>
    <t>Foam</t>
  </si>
  <si>
    <t>&lt; 35</t>
  </si>
  <si>
    <t>Air Density</t>
  </si>
  <si>
    <t>kg/m³</t>
  </si>
  <si>
    <t>Moment Arm</t>
  </si>
  <si>
    <t>Estimated Flight Time</t>
  </si>
  <si>
    <t>hr</t>
  </si>
  <si>
    <t>Cell Voltages</t>
  </si>
  <si>
    <t>Propulsion/Batteries</t>
  </si>
  <si>
    <t>Estimated Range</t>
  </si>
  <si>
    <t>mi</t>
  </si>
  <si>
    <t>Lithium Polymer</t>
  </si>
  <si>
    <t>V</t>
  </si>
  <si>
    <t>Battery Pack Capacity</t>
  </si>
  <si>
    <t>mAh</t>
  </si>
  <si>
    <t>Area</t>
  </si>
  <si>
    <t>Lithium Ion</t>
  </si>
  <si>
    <t>Energy Density</t>
  </si>
  <si>
    <t>W-h/kg</t>
  </si>
  <si>
    <t>Cell Voltage</t>
  </si>
  <si>
    <t>Straight  TE Sweep</t>
  </si>
  <si>
    <t>deg</t>
  </si>
  <si>
    <t>Cells in Series (#s)</t>
  </si>
  <si>
    <t>Number of batteries</t>
  </si>
  <si>
    <t>Total Battery Capacity</t>
  </si>
  <si>
    <t>Voltage</t>
  </si>
  <si>
    <t>Vertical Stabilizer</t>
  </si>
  <si>
    <t>Batteries Weight</t>
  </si>
  <si>
    <t>Volume Ratio (0.02 - 0.05)</t>
  </si>
  <si>
    <t>Total Capacity Used</t>
  </si>
  <si>
    <t>Overall efficiency</t>
  </si>
  <si>
    <t>Propulsive Power</t>
  </si>
  <si>
    <t>Cruise Current Draw</t>
  </si>
  <si>
    <t>A</t>
  </si>
  <si>
    <t xml:space="preserve">       </t>
  </si>
  <si>
    <t>Airspeed (m/s)</t>
  </si>
  <si>
    <t>Flight Time (min)</t>
  </si>
  <si>
    <t>Range (km)</t>
  </si>
  <si>
    <t>Drag (N)</t>
  </si>
  <si>
    <t>Lift (N)</t>
  </si>
  <si>
    <t>L/D</t>
  </si>
  <si>
    <t>Current (A)</t>
  </si>
  <si>
    <t>Power (W)</t>
  </si>
  <si>
    <t>Cruise AIrspeed</t>
  </si>
  <si>
    <t>Mass (kg)</t>
  </si>
  <si>
    <t>X-axis Position</t>
  </si>
  <si>
    <t>Other Payload</t>
  </si>
  <si>
    <t>Receiver</t>
  </si>
  <si>
    <t>Doesn't include any wiring</t>
  </si>
  <si>
    <t>Pixhawk Weight</t>
  </si>
  <si>
    <t>Approximate, probably under-estimate</t>
  </si>
  <si>
    <t>GPS Antenna</t>
  </si>
  <si>
    <t>Doesn't inlclude any wire extensions that may be needed</t>
  </si>
  <si>
    <t>Cell Hardware</t>
  </si>
  <si>
    <t>Glow-stick Dropper</t>
  </si>
  <si>
    <t>individual solar panel</t>
  </si>
  <si>
    <t>Approximation</t>
  </si>
  <si>
    <t>Solar power regulation hardware</t>
  </si>
  <si>
    <t>Just the device, not including wires</t>
  </si>
  <si>
    <t>Total solar weight</t>
  </si>
  <si>
    <t>seems optimistic</t>
  </si>
  <si>
    <t>camera 1</t>
  </si>
  <si>
    <t>camera 2</t>
  </si>
  <si>
    <t>Camera Mounting Hardware</t>
  </si>
  <si>
    <t>Cameras and hardware total</t>
  </si>
  <si>
    <t>Fuselage Structure weight</t>
  </si>
  <si>
    <t>Measured with aft incomplete</t>
  </si>
  <si>
    <t>Wing center Structure weight</t>
  </si>
  <si>
    <t>Update this please</t>
  </si>
  <si>
    <t>Outer Wing Structure mass (1 side)</t>
  </si>
  <si>
    <t>Currently measured as .342</t>
  </si>
  <si>
    <t>Weight per Flight Cont servo</t>
  </si>
  <si>
    <t>HS-645MG</t>
  </si>
  <si>
    <t>Motor 1 weight (with prop)</t>
  </si>
  <si>
    <t>Motor 2 weight (with prop)</t>
  </si>
  <si>
    <t>Motor 3 weight (with prop)</t>
  </si>
  <si>
    <t>Motor 4 weight (with prop)</t>
  </si>
  <si>
    <t>Motor mounting hardware</t>
  </si>
  <si>
    <t>ESC 1</t>
  </si>
  <si>
    <t>ESC 2</t>
  </si>
  <si>
    <t>ESC 3</t>
  </si>
  <si>
    <t>ESC 4</t>
  </si>
  <si>
    <t>Weight of VTOL mods</t>
  </si>
  <si>
    <t>Tail Structure mass</t>
  </si>
  <si>
    <t>Measured v-tail only. No Rudder</t>
  </si>
  <si>
    <t>Total Battery mass</t>
  </si>
  <si>
    <t>Nose Landing Gear</t>
  </si>
  <si>
    <t>Main Gear</t>
  </si>
  <si>
    <t>Update this</t>
  </si>
  <si>
    <t>Total Vehicle</t>
  </si>
  <si>
    <t>X-axis Position Relative to ideal C-G</t>
  </si>
  <si>
    <t>All-up Mass (kg)</t>
  </si>
  <si>
    <t>(C-G Location)</t>
  </si>
  <si>
    <t>All-up Weight (Newtons):</t>
  </si>
  <si>
    <t>All-up Weight (lbs)</t>
  </si>
  <si>
    <t>Motors:</t>
  </si>
  <si>
    <t>Motor 1 Selection:</t>
  </si>
  <si>
    <t>Power = F(thrust) Eq:</t>
  </si>
  <si>
    <t>W=f(kg)</t>
  </si>
  <si>
    <t>A:</t>
  </si>
  <si>
    <t>Thrust = F(power) Eq:</t>
  </si>
  <si>
    <t>B:</t>
  </si>
  <si>
    <t>C:</t>
  </si>
  <si>
    <t>Max Thrust:</t>
  </si>
  <si>
    <t>Motor 2 Selection:</t>
  </si>
  <si>
    <t>Motor 3 Selection:</t>
  </si>
  <si>
    <t>Motor 4 Selection:</t>
  </si>
  <si>
    <t>Batteries:</t>
  </si>
  <si>
    <t>lbs</t>
  </si>
  <si>
    <t>Solar:</t>
  </si>
  <si>
    <t>Solar Unit Power:</t>
  </si>
  <si>
    <t>W/Cell</t>
  </si>
  <si>
    <t>Number of Solar Panels</t>
  </si>
  <si>
    <t>Solar Regulation Efficiency</t>
  </si>
  <si>
    <t>What is this number suppossed to be?</t>
  </si>
  <si>
    <t>Total Solar Power:</t>
  </si>
  <si>
    <t>Cameras:</t>
  </si>
  <si>
    <t>Camera Unit Power:</t>
  </si>
  <si>
    <t>W/Camera</t>
  </si>
  <si>
    <t>Number of Cameras</t>
  </si>
  <si>
    <t>Camera trans. and other draw</t>
  </si>
  <si>
    <t>Camera-Aiming Servo Draw</t>
  </si>
  <si>
    <t># of Camera-Aiming Servos</t>
  </si>
  <si>
    <t>Total Camera-Aiming Servo Draw</t>
  </si>
  <si>
    <t>Total System Draw:</t>
  </si>
  <si>
    <t>Fl Cont:</t>
  </si>
  <si>
    <t>Pixhawk, GPS, receiver draw</t>
  </si>
  <si>
    <t>Servo Average Draw:</t>
  </si>
  <si>
    <t>W/Servo</t>
  </si>
  <si>
    <t>Number of Fl. Cont. Servos</t>
  </si>
  <si>
    <t>Including Servos for motor-pivoting</t>
  </si>
  <si>
    <t>Total Servo Draw</t>
  </si>
  <si>
    <t>Other:</t>
  </si>
  <si>
    <t>Fuselage Effects</t>
  </si>
  <si>
    <t>dim.</t>
  </si>
  <si>
    <t>update this</t>
  </si>
  <si>
    <t>Wing</t>
  </si>
  <si>
    <t>Wing Zero Lift Drag Coeff.</t>
  </si>
  <si>
    <t>Approximation made using airfoiltools.com and assuming NACA 2414</t>
  </si>
  <si>
    <t>Oswald Efficiency Factor</t>
  </si>
  <si>
    <t>Wingspan:</t>
  </si>
  <si>
    <t>in</t>
  </si>
  <si>
    <t>(Chord)</t>
  </si>
  <si>
    <t>Wing Area:</t>
  </si>
  <si>
    <t>in^2</t>
  </si>
  <si>
    <t>m^2</t>
  </si>
  <si>
    <t>Wing Loading:</t>
  </si>
  <si>
    <t>kg/m^2</t>
  </si>
  <si>
    <t>Landing Gear Effects</t>
  </si>
  <si>
    <t>Landing Gear Cd</t>
  </si>
  <si>
    <t>With respect to wheel frontal area</t>
  </si>
  <si>
    <t>Number of Wheels</t>
  </si>
  <si>
    <t>Wheel Diameter</t>
  </si>
  <si>
    <t>Wheel width</t>
  </si>
  <si>
    <t>Drag Coefficient w/respect to wing</t>
  </si>
  <si>
    <t>Atmosphere</t>
  </si>
  <si>
    <t>slug/ft^3</t>
  </si>
  <si>
    <t>VTOL Mods</t>
  </si>
  <si>
    <t>Cruise Cd from Extra motors</t>
  </si>
  <si>
    <t>Coefficient of Drag</t>
  </si>
  <si>
    <t>1-Way Cruise Performance</t>
  </si>
  <si>
    <t>Cruise Endurance</t>
  </si>
  <si>
    <t>This number means nothing</t>
  </si>
  <si>
    <t>Cruise Range</t>
  </si>
  <si>
    <t>2-Motor Max Thrust/Weight</t>
  </si>
  <si>
    <t>Hover Mission</t>
  </si>
  <si>
    <t>Hover Power Draw Per Motor</t>
  </si>
  <si>
    <t>per motor</t>
  </si>
  <si>
    <t>Hover Time</t>
  </si>
  <si>
    <t>Aircraft Thrust to weight:</t>
  </si>
  <si>
    <t>H-takeoff to hover Mission Requirements</t>
  </si>
  <si>
    <t>Trip time (One-Way)</t>
  </si>
  <si>
    <t>Mission Radius</t>
  </si>
  <si>
    <t>V-takeoff/Landing to hover Mission Requirements</t>
  </si>
  <si>
    <t>Takeoff Time</t>
  </si>
  <si>
    <t>Destination Hover Time</t>
  </si>
  <si>
    <t>Landing Time</t>
  </si>
  <si>
    <t>Drag (kg)</t>
  </si>
  <si>
    <t>Power Draw</t>
  </si>
  <si>
    <t>Motor Option:</t>
  </si>
  <si>
    <t>Motor:</t>
  </si>
  <si>
    <t>Max Cont. Power:</t>
  </si>
  <si>
    <t>3d airplane weight (lbs)</t>
  </si>
  <si>
    <t>Motor Weight (kg)</t>
  </si>
  <si>
    <t>Price</t>
  </si>
  <si>
    <t>ESC Weight</t>
  </si>
  <si>
    <t>Watts/kg motor mass</t>
  </si>
  <si>
    <t>Power per thrust (W/kg)</t>
  </si>
  <si>
    <t>Website</t>
  </si>
  <si>
    <t>E-flight power 46</t>
  </si>
  <si>
    <t>https://www.horizonhobby.com/power-46-brushless-outrunner-motor--670kv-eflm4046a</t>
  </si>
  <si>
    <t>Rimfire .32</t>
  </si>
  <si>
    <t>Rimfire .46</t>
  </si>
  <si>
    <t>https://www.rcplanet.com/motors/airplane-motors/great-planes-rimfire-outrunner-brushless-motor-46-42-60-800-gpmg4725/</t>
  </si>
  <si>
    <t>T-Motor U7-V2.0 280kv</t>
  </si>
  <si>
    <t>T-Motor U7-V2.0 420kv</t>
  </si>
  <si>
    <t>T-Motor U11 90KV</t>
  </si>
  <si>
    <t>T-Motor MN505-S 320kv</t>
  </si>
  <si>
    <t>T-Motor MN505-S 380kv</t>
  </si>
  <si>
    <t>25.97x^2+87.83x+12.83</t>
  </si>
  <si>
    <t>T-Motor AT3520</t>
  </si>
  <si>
    <t>45 amps</t>
  </si>
  <si>
    <t>1-Way Cruise Requirements</t>
  </si>
  <si>
    <t>Hover Mission Requirements</t>
  </si>
  <si>
    <t>Part Name</t>
  </si>
  <si>
    <t>Quantity</t>
  </si>
  <si>
    <t>Manufacturer</t>
  </si>
  <si>
    <t>Total Cost:</t>
  </si>
  <si>
    <t>Comment:</t>
  </si>
  <si>
    <t>MN505-S KV380</t>
  </si>
  <si>
    <t>T-motor</t>
  </si>
  <si>
    <t>Aft Motors, Better for hovering only</t>
  </si>
  <si>
    <t>http://store-en.tmotor.com/goods.php?id=699</t>
  </si>
  <si>
    <t>AT3520 550KV</t>
  </si>
  <si>
    <t>Forward Motors, with higher rpms and pitch speed.</t>
  </si>
  <si>
    <t>http://store-en.tmotor.com/goods.php?id=794</t>
  </si>
  <si>
    <t>60A ESC can handle up to 6S</t>
  </si>
  <si>
    <t>ESC's</t>
  </si>
  <si>
    <t>https://www.horizonhobby.com/60-amp-pro-switch-mode-bec-brushless-esc-%28v2%29-efla1060b</t>
  </si>
  <si>
    <t>P17x5.8 Carbon Props</t>
  </si>
  <si>
    <t>T-Motor</t>
  </si>
  <si>
    <t>Aft props</t>
  </si>
  <si>
    <t>http://store-en.tmotor.com/goods.php?id=383</t>
  </si>
  <si>
    <t>14x8.5EP</t>
  </si>
  <si>
    <t>APC</t>
  </si>
  <si>
    <t>Forward Prop</t>
  </si>
  <si>
    <t>https://www.apcprop.com/product/14x8-5ep/</t>
  </si>
  <si>
    <t>14x8.5E</t>
  </si>
  <si>
    <t>https://www.apcprop.com/product/14x8-5e/</t>
  </si>
  <si>
    <t>Power System 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</si>
</sst>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"/>
    <numFmt numFmtId="165" formatCode="0.000"/>
    <numFmt numFmtId="166" formatCode="0.0000"/>
    <numFmt numFmtId="167" formatCode="0.000000"/>
    <numFmt numFmtId="168" formatCode="&quot;$&quot;#,##0.00"/>
  </numFmts>
  <fonts count="15">
    <font>
      <sz val="10.0"/>
      <color rgb="FF000000"/>
      <name val="Arial"/>
    </font>
    <font/>
    <font>
      <sz val="10.0"/>
      <name val="Arial"/>
    </font>
    <font>
      <b/>
      <sz val="10.0"/>
      <color rgb="FF0000FF"/>
      <name val="Arial"/>
    </font>
    <font>
      <u/>
      <sz val="10.0"/>
      <color rgb="FF0000FF"/>
      <name val="Arial"/>
    </font>
    <font>
      <b/>
      <sz val="10.0"/>
      <name val="Arial"/>
    </font>
    <font>
      <sz val="17.0"/>
      <name val="Arial"/>
    </font>
    <font>
      <sz val="14.0"/>
      <name val="Arial"/>
    </font>
    <font>
      <sz val="11.0"/>
      <name val="Arial"/>
    </font>
    <font>
      <b/>
    </font>
    <font>
      <sz val="11.0"/>
      <color rgb="FF000000"/>
      <name val="Arial"/>
    </font>
    <font>
      <sz val="11.0"/>
      <color rgb="FF000000"/>
      <name val="Inconsolata"/>
    </font>
    <font>
      <i/>
    </font>
    <font>
      <sz val="11.0"/>
      <color rgb="FF7E3794"/>
      <name val="Inconsolata"/>
    </font>
    <font>
      <u/>
      <color rgb="FF0000FF"/>
    </font>
  </fonts>
  <fills count="11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A4C2F4"/>
        <bgColor rgb="FFA4C2F4"/>
      </patternFill>
    </fill>
    <fill>
      <patternFill patternType="solid">
        <fgColor rgb="FFDD7E6B"/>
        <bgColor rgb="FFDD7E6B"/>
      </patternFill>
    </fill>
    <fill>
      <patternFill patternType="solid">
        <fgColor rgb="FFB7B7B7"/>
        <bgColor rgb="FFB7B7B7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FFFF00"/>
        <bgColor rgb="FFFFFF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/>
      <right/>
      <top/>
      <bottom/>
    </border>
    <border>
      <right style="thin">
        <color rgb="FF000000"/>
      </right>
    </border>
    <border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right/>
    </border>
    <border>
      <left style="thin">
        <color rgb="FF000000"/>
      </left>
      <right/>
      <top style="thin">
        <color rgb="FF000000"/>
      </top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Alignment="1" applyBorder="1" applyFont="1">
      <alignment horizontal="center"/>
    </xf>
    <xf borderId="3" fillId="0" fontId="1" numFmtId="0" xfId="0" applyBorder="1" applyFont="1"/>
    <xf borderId="4" fillId="0" fontId="1" numFmtId="0" xfId="0" applyBorder="1" applyFont="1"/>
    <xf borderId="1" fillId="0" fontId="2" numFmtId="0" xfId="0" applyAlignment="1" applyBorder="1" applyFont="1">
      <alignment horizontal="center"/>
    </xf>
    <xf borderId="0" fillId="0" fontId="4" numFmtId="0" xfId="0" applyFont="1"/>
    <xf borderId="2" fillId="3" fontId="5" numFmtId="0" xfId="0" applyAlignment="1" applyBorder="1" applyFill="1" applyFont="1">
      <alignment horizontal="center"/>
    </xf>
    <xf borderId="2" fillId="4" fontId="5" numFmtId="0" xfId="0" applyAlignment="1" applyBorder="1" applyFill="1" applyFont="1">
      <alignment horizontal="center"/>
    </xf>
    <xf borderId="2" fillId="5" fontId="5" numFmtId="0" xfId="0" applyAlignment="1" applyBorder="1" applyFill="1" applyFont="1">
      <alignment horizontal="center"/>
    </xf>
    <xf borderId="1" fillId="0" fontId="2" numFmtId="0" xfId="0" applyBorder="1" applyFont="1"/>
    <xf borderId="5" fillId="2" fontId="2" numFmtId="0" xfId="0" applyAlignment="1" applyBorder="1" applyFont="1">
      <alignment readingOrder="0"/>
    </xf>
    <xf borderId="4" fillId="0" fontId="2" numFmtId="0" xfId="0" applyBorder="1" applyFont="1"/>
    <xf borderId="2" fillId="0" fontId="2" numFmtId="0" xfId="0" applyBorder="1" applyFont="1"/>
    <xf borderId="5" fillId="2" fontId="2" numFmtId="164" xfId="0" applyAlignment="1" applyBorder="1" applyFont="1" applyNumberFormat="1">
      <alignment readingOrder="0"/>
    </xf>
    <xf borderId="6" fillId="0" fontId="5" numFmtId="0" xfId="0" applyBorder="1" applyFont="1"/>
    <xf borderId="7" fillId="0" fontId="5" numFmtId="165" xfId="0" applyAlignment="1" applyBorder="1" applyFont="1" applyNumberFormat="1">
      <alignment horizontal="right"/>
    </xf>
    <xf borderId="0" fillId="0" fontId="5" numFmtId="0" xfId="0" applyFont="1"/>
    <xf borderId="8" fillId="2" fontId="2" numFmtId="164" xfId="0" applyAlignment="1" applyBorder="1" applyFont="1" applyNumberFormat="1">
      <alignment readingOrder="0"/>
    </xf>
    <xf borderId="9" fillId="0" fontId="2" numFmtId="2" xfId="0" applyBorder="1" applyFont="1" applyNumberFormat="1"/>
    <xf borderId="2" fillId="0" fontId="2" numFmtId="4" xfId="0" applyBorder="1" applyFont="1" applyNumberFormat="1"/>
    <xf borderId="4" fillId="0" fontId="2" numFmtId="2" xfId="0" applyBorder="1" applyFont="1" applyNumberFormat="1"/>
    <xf borderId="2" fillId="0" fontId="2" numFmtId="165" xfId="0" applyBorder="1" applyFont="1" applyNumberFormat="1"/>
    <xf borderId="10" fillId="0" fontId="5" numFmtId="0" xfId="0" applyAlignment="1" applyBorder="1" applyFont="1">
      <alignment vertical="center"/>
    </xf>
    <xf borderId="11" fillId="0" fontId="5" numFmtId="2" xfId="0" applyAlignment="1" applyBorder="1" applyFont="1" applyNumberFormat="1">
      <alignment vertical="center"/>
    </xf>
    <xf borderId="12" fillId="0" fontId="5" numFmtId="2" xfId="0" applyAlignment="1" applyBorder="1" applyFont="1" applyNumberFormat="1">
      <alignment vertical="center"/>
    </xf>
    <xf borderId="2" fillId="0" fontId="2" numFmtId="2" xfId="0" applyBorder="1" applyFont="1" applyNumberFormat="1"/>
    <xf borderId="3" fillId="0" fontId="2" numFmtId="2" xfId="0" applyBorder="1" applyFont="1" applyNumberFormat="1"/>
    <xf borderId="5" fillId="2" fontId="2" numFmtId="0" xfId="0" applyBorder="1" applyFont="1"/>
    <xf borderId="1" fillId="0" fontId="5" numFmtId="0" xfId="0" applyAlignment="1" applyBorder="1" applyFont="1">
      <alignment vertical="center"/>
    </xf>
    <xf borderId="2" fillId="0" fontId="5" numFmtId="2" xfId="0" applyAlignment="1" applyBorder="1" applyFont="1" applyNumberFormat="1">
      <alignment vertical="center"/>
    </xf>
    <xf borderId="4" fillId="0" fontId="5" numFmtId="2" xfId="0" applyAlignment="1" applyBorder="1" applyFont="1" applyNumberFormat="1">
      <alignment vertical="center"/>
    </xf>
    <xf borderId="2" fillId="0" fontId="3" numFmtId="165" xfId="0" applyBorder="1" applyFont="1" applyNumberFormat="1"/>
    <xf borderId="4" fillId="0" fontId="2" numFmtId="0" xfId="0" applyAlignment="1" applyBorder="1" applyFont="1">
      <alignment horizontal="left"/>
    </xf>
    <xf borderId="0" fillId="0" fontId="6" numFmtId="0" xfId="0" applyAlignment="1" applyFont="1">
      <alignment vertical="center"/>
    </xf>
    <xf borderId="4" fillId="0" fontId="7" numFmtId="2" xfId="0" applyAlignment="1" applyBorder="1" applyFont="1" applyNumberFormat="1">
      <alignment vertical="center"/>
    </xf>
    <xf borderId="2" fillId="0" fontId="2" numFmtId="0" xfId="0" applyAlignment="1" applyBorder="1" applyFont="1">
      <alignment horizontal="left"/>
    </xf>
    <xf borderId="2" fillId="0" fontId="2" numFmtId="166" xfId="0" applyBorder="1" applyFont="1" applyNumberFormat="1"/>
    <xf borderId="2" fillId="6" fontId="2" numFmtId="2" xfId="0" applyBorder="1" applyFill="1" applyFont="1" applyNumberFormat="1"/>
    <xf borderId="1" fillId="0" fontId="2" numFmtId="0" xfId="0" applyAlignment="1" applyBorder="1" applyFont="1">
      <alignment readingOrder="0"/>
    </xf>
    <xf borderId="2" fillId="2" fontId="2" numFmtId="2" xfId="0" applyAlignment="1" applyBorder="1" applyFont="1" applyNumberFormat="1">
      <alignment readingOrder="0"/>
    </xf>
    <xf borderId="4" fillId="0" fontId="2" numFmtId="2" xfId="0" applyAlignment="1" applyBorder="1" applyFont="1" applyNumberFormat="1">
      <alignment readingOrder="0" vertical="center"/>
    </xf>
    <xf borderId="13" fillId="0" fontId="2" numFmtId="0" xfId="0" applyBorder="1" applyFont="1"/>
    <xf borderId="7" fillId="0" fontId="2" numFmtId="0" xfId="0" applyBorder="1" applyFont="1"/>
    <xf borderId="9" fillId="0" fontId="2" numFmtId="0" xfId="0" applyAlignment="1" applyBorder="1" applyFont="1">
      <alignment readingOrder="0"/>
    </xf>
    <xf borderId="2" fillId="0" fontId="2" numFmtId="0" xfId="0" applyAlignment="1" applyBorder="1" applyFont="1">
      <alignment horizontal="right"/>
    </xf>
    <xf borderId="14" fillId="2" fontId="2" numFmtId="0" xfId="0" applyBorder="1" applyFont="1"/>
    <xf borderId="15" fillId="0" fontId="2" numFmtId="0" xfId="0" applyBorder="1" applyFont="1"/>
    <xf borderId="2" fillId="0" fontId="2" numFmtId="2" xfId="0" applyAlignment="1" applyBorder="1" applyFont="1" applyNumberFormat="1">
      <alignment readingOrder="0"/>
    </xf>
    <xf borderId="5" fillId="2" fontId="2" numFmtId="165" xfId="0" applyAlignment="1" applyBorder="1" applyFont="1" applyNumberFormat="1">
      <alignment readingOrder="0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Alignment="1" applyBorder="1" applyFont="1">
      <alignment horizontal="right"/>
    </xf>
    <xf borderId="12" fillId="0" fontId="2" numFmtId="0" xfId="0" applyBorder="1" applyFont="1"/>
    <xf borderId="5" fillId="2" fontId="3" numFmtId="0" xfId="0" applyBorder="1" applyFont="1"/>
    <xf borderId="0" fillId="0" fontId="2" numFmtId="2" xfId="0" applyFont="1" applyNumberFormat="1"/>
    <xf borderId="4" fillId="0" fontId="2" numFmtId="2" xfId="0" applyAlignment="1" applyBorder="1" applyFont="1" applyNumberFormat="1">
      <alignment vertical="center"/>
    </xf>
    <xf borderId="16" fillId="0" fontId="2" numFmtId="0" xfId="0" applyBorder="1" applyFont="1"/>
    <xf borderId="10" fillId="0" fontId="5" numFmtId="0" xfId="0" applyAlignment="1" applyBorder="1" applyFont="1">
      <alignment horizontal="left" vertical="center"/>
    </xf>
    <xf borderId="11" fillId="0" fontId="5" numFmtId="164" xfId="0" applyAlignment="1" applyBorder="1" applyFont="1" applyNumberFormat="1">
      <alignment vertical="center"/>
    </xf>
    <xf borderId="16" fillId="0" fontId="5" numFmtId="2" xfId="0" applyAlignment="1" applyBorder="1" applyFont="1" applyNumberFormat="1">
      <alignment horizontal="right" vertical="center"/>
    </xf>
    <xf borderId="12" fillId="0" fontId="5" numFmtId="2" xfId="0" applyAlignment="1" applyBorder="1" applyFont="1" applyNumberFormat="1">
      <alignment horizontal="left" vertical="center"/>
    </xf>
    <xf borderId="3" fillId="0" fontId="2" numFmtId="0" xfId="0" applyBorder="1" applyFont="1"/>
    <xf borderId="12" fillId="0" fontId="2" numFmtId="2" xfId="0" applyAlignment="1" applyBorder="1" applyFont="1" applyNumberFormat="1">
      <alignment horizontal="left" vertical="center"/>
    </xf>
    <xf borderId="17" fillId="0" fontId="1" numFmtId="0" xfId="0" applyBorder="1" applyFont="1"/>
    <xf borderId="1" fillId="0" fontId="5" numFmtId="0" xfId="0" applyAlignment="1" applyBorder="1" applyFont="1">
      <alignment horizontal="left" vertical="center"/>
    </xf>
    <xf borderId="2" fillId="0" fontId="5" numFmtId="164" xfId="0" applyAlignment="1" applyBorder="1" applyFont="1" applyNumberFormat="1">
      <alignment vertical="center"/>
    </xf>
    <xf borderId="3" fillId="0" fontId="5" numFmtId="2" xfId="0" applyAlignment="1" applyBorder="1" applyFont="1" applyNumberFormat="1">
      <alignment horizontal="right" vertical="center"/>
    </xf>
    <xf borderId="4" fillId="0" fontId="5" numFmtId="2" xfId="0" applyAlignment="1" applyBorder="1" applyFont="1" applyNumberFormat="1">
      <alignment horizontal="left" vertical="center"/>
    </xf>
    <xf borderId="4" fillId="0" fontId="2" numFmtId="2" xfId="0" applyAlignment="1" applyBorder="1" applyFont="1" applyNumberFormat="1">
      <alignment horizontal="left" vertical="center"/>
    </xf>
    <xf borderId="2" fillId="0" fontId="3" numFmtId="2" xfId="0" applyBorder="1" applyFont="1" applyNumberFormat="1"/>
    <xf borderId="2" fillId="0" fontId="2" numFmtId="165" xfId="0" applyAlignment="1" applyBorder="1" applyFont="1" applyNumberFormat="1">
      <alignment horizontal="right"/>
    </xf>
    <xf borderId="5" fillId="2" fontId="3" numFmtId="0" xfId="0" applyAlignment="1" applyBorder="1" applyFont="1">
      <alignment readingOrder="0"/>
    </xf>
    <xf borderId="0" fillId="0" fontId="2" numFmtId="0" xfId="0" applyAlignment="1" applyFont="1">
      <alignment horizontal="right"/>
    </xf>
    <xf borderId="0" fillId="0" fontId="2" numFmtId="0" xfId="0" applyFont="1"/>
    <xf borderId="0" fillId="0" fontId="2" numFmtId="0" xfId="0" applyAlignment="1" applyFont="1">
      <alignment horizontal="left"/>
    </xf>
    <xf borderId="0" fillId="0" fontId="2" numFmtId="167" xfId="0" applyAlignment="1" applyFont="1" applyNumberFormat="1">
      <alignment horizontal="center"/>
    </xf>
    <xf borderId="14" fillId="7" fontId="8" numFmtId="164" xfId="0" applyAlignment="1" applyBorder="1" applyFill="1" applyFont="1" applyNumberFormat="1">
      <alignment horizontal="right"/>
    </xf>
    <xf borderId="14" fillId="7" fontId="8" numFmtId="167" xfId="0" applyAlignment="1" applyBorder="1" applyFont="1" applyNumberFormat="1">
      <alignment horizontal="right"/>
    </xf>
    <xf borderId="0" fillId="0" fontId="2" numFmtId="167" xfId="0" applyAlignment="1" applyFont="1" applyNumberFormat="1">
      <alignment horizontal="right"/>
    </xf>
    <xf borderId="0" fillId="0" fontId="2" numFmtId="164" xfId="0" applyAlignment="1" applyFont="1" applyNumberFormat="1">
      <alignment horizontal="right"/>
    </xf>
    <xf borderId="0" fillId="0" fontId="8" numFmtId="164" xfId="0" applyAlignment="1" applyFont="1" applyNumberFormat="1">
      <alignment horizontal="right"/>
    </xf>
    <xf borderId="0" fillId="0" fontId="2" numFmtId="167" xfId="0" applyFont="1" applyNumberFormat="1"/>
    <xf borderId="2" fillId="3" fontId="5" numFmtId="0" xfId="0" applyAlignment="1" applyBorder="1" applyFont="1">
      <alignment horizontal="center" readingOrder="0"/>
    </xf>
    <xf borderId="4" fillId="3" fontId="5" numFmtId="0" xfId="0" applyAlignment="1" applyBorder="1" applyFont="1">
      <alignment horizontal="center" readingOrder="0"/>
    </xf>
    <xf borderId="2" fillId="0" fontId="2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8" fillId="2" fontId="2" numFmtId="0" xfId="0" applyAlignment="1" applyBorder="1" applyFont="1">
      <alignment readingOrder="0"/>
    </xf>
    <xf borderId="18" fillId="8" fontId="2" numFmtId="0" xfId="0" applyBorder="1" applyFill="1" applyFont="1"/>
    <xf borderId="1" fillId="3" fontId="5" numFmtId="0" xfId="0" applyAlignment="1" applyBorder="1" applyFont="1">
      <alignment horizontal="center"/>
    </xf>
    <xf borderId="14" fillId="2" fontId="2" numFmtId="0" xfId="0" applyAlignment="1" applyBorder="1" applyFont="1">
      <alignment readingOrder="0"/>
    </xf>
    <xf borderId="18" fillId="2" fontId="2" numFmtId="0" xfId="0" applyBorder="1" applyFont="1"/>
    <xf borderId="1" fillId="8" fontId="1" numFmtId="0" xfId="0" applyBorder="1" applyFont="1"/>
    <xf borderId="1" fillId="2" fontId="1" numFmtId="0" xfId="0" applyAlignment="1" applyBorder="1" applyFont="1">
      <alignment readingOrder="0"/>
    </xf>
    <xf borderId="1" fillId="3" fontId="5" numFmtId="0" xfId="0" applyAlignment="1" applyBorder="1" applyFont="1">
      <alignment horizontal="center" readingOrder="0"/>
    </xf>
    <xf borderId="1" fillId="8" fontId="1" numFmtId="165" xfId="0" applyAlignment="1" applyBorder="1" applyFont="1" applyNumberFormat="1">
      <alignment readingOrder="0"/>
    </xf>
    <xf borderId="1" fillId="0" fontId="1" numFmtId="0" xfId="0" applyBorder="1" applyFont="1"/>
    <xf borderId="1" fillId="8" fontId="1" numFmtId="165" xfId="0" applyBorder="1" applyFont="1" applyNumberFormat="1"/>
    <xf borderId="0" fillId="0" fontId="1" numFmtId="165" xfId="0" applyFont="1" applyNumberFormat="1"/>
    <xf borderId="1" fillId="3" fontId="1" numFmtId="0" xfId="0" applyAlignment="1" applyBorder="1" applyFont="1">
      <alignment readingOrder="0"/>
    </xf>
    <xf borderId="1" fillId="3" fontId="1" numFmtId="0" xfId="0" applyBorder="1" applyFont="1"/>
    <xf borderId="1" fillId="0" fontId="9" numFmtId="0" xfId="0" applyAlignment="1" applyBorder="1" applyFont="1">
      <alignment readingOrder="0"/>
    </xf>
    <xf borderId="1" fillId="2" fontId="1" numFmtId="0" xfId="0" applyBorder="1" applyFont="1"/>
    <xf borderId="2" fillId="8" fontId="2" numFmtId="0" xfId="0" applyBorder="1" applyFont="1"/>
    <xf borderId="2" fillId="8" fontId="2" numFmtId="165" xfId="0" applyAlignment="1" applyBorder="1" applyFont="1" applyNumberFormat="1">
      <alignment horizontal="right"/>
    </xf>
    <xf borderId="1" fillId="2" fontId="1" numFmtId="10" xfId="0" applyAlignment="1" applyBorder="1" applyFont="1" applyNumberFormat="1">
      <alignment readingOrder="0"/>
    </xf>
    <xf borderId="0" fillId="9" fontId="2" numFmtId="0" xfId="0" applyAlignment="1" applyFill="1" applyFont="1">
      <alignment horizontal="center" readingOrder="0"/>
    </xf>
    <xf borderId="1" fillId="2" fontId="2" numFmtId="0" xfId="0" applyAlignment="1" applyBorder="1" applyFont="1">
      <alignment readingOrder="0"/>
    </xf>
    <xf borderId="0" fillId="10" fontId="1" numFmtId="0" xfId="0" applyAlignment="1" applyFill="1" applyFont="1">
      <alignment readingOrder="0"/>
    </xf>
    <xf borderId="1" fillId="0" fontId="2" numFmtId="165" xfId="0" applyAlignment="1" applyBorder="1" applyFont="1" applyNumberFormat="1">
      <alignment readingOrder="0"/>
    </xf>
    <xf borderId="2" fillId="9" fontId="2" numFmtId="0" xfId="0" applyAlignment="1" applyBorder="1" applyFont="1">
      <alignment horizontal="center" readingOrder="0"/>
    </xf>
    <xf borderId="1" fillId="2" fontId="2" numFmtId="165" xfId="0" applyAlignment="1" applyBorder="1" applyFont="1" applyNumberFormat="1">
      <alignment readingOrder="0"/>
    </xf>
    <xf borderId="1" fillId="2" fontId="2" numFmtId="10" xfId="0" applyAlignment="1" applyBorder="1" applyFont="1" applyNumberFormat="1">
      <alignment readingOrder="0"/>
    </xf>
    <xf borderId="1" fillId="8" fontId="2" numFmtId="0" xfId="0" applyAlignment="1" applyBorder="1" applyFont="1">
      <alignment readingOrder="0"/>
    </xf>
    <xf borderId="2" fillId="3" fontId="2" numFmtId="0" xfId="0" applyAlignment="1" applyBorder="1" applyFont="1">
      <alignment horizontal="center" readingOrder="0"/>
    </xf>
    <xf borderId="1" fillId="2" fontId="2" numFmtId="0" xfId="0" applyBorder="1" applyFont="1"/>
    <xf borderId="2" fillId="9" fontId="1" numFmtId="0" xfId="0" applyAlignment="1" applyBorder="1" applyFont="1">
      <alignment horizontal="center" readingOrder="0"/>
    </xf>
    <xf borderId="0" fillId="7" fontId="10" numFmtId="0" xfId="0" applyAlignment="1" applyFont="1">
      <alignment horizontal="left" readingOrder="0"/>
    </xf>
    <xf borderId="0" fillId="7" fontId="11" numFmtId="165" xfId="0" applyAlignment="1" applyFont="1" applyNumberFormat="1">
      <alignment horizontal="left"/>
    </xf>
    <xf borderId="0" fillId="0" fontId="12" numFmtId="0" xfId="0" applyAlignment="1" applyFont="1">
      <alignment readingOrder="0"/>
    </xf>
    <xf borderId="10" fillId="0" fontId="2" numFmtId="0" xfId="0" applyAlignment="1" applyBorder="1" applyFont="1">
      <alignment readingOrder="0"/>
    </xf>
    <xf borderId="0" fillId="7" fontId="11" numFmtId="0" xfId="0" applyFont="1"/>
    <xf borderId="12" fillId="0" fontId="2" numFmtId="0" xfId="0" applyAlignment="1" applyBorder="1" applyFont="1">
      <alignment readingOrder="0"/>
    </xf>
    <xf borderId="19" fillId="0" fontId="2" numFmtId="0" xfId="0" applyAlignment="1" applyBorder="1" applyFont="1">
      <alignment readingOrder="0"/>
    </xf>
    <xf borderId="1" fillId="7" fontId="13" numFmtId="0" xfId="0" applyBorder="1" applyFont="1"/>
    <xf borderId="0" fillId="0" fontId="2" numFmtId="0" xfId="0" applyAlignment="1" applyFont="1">
      <alignment readingOrder="0"/>
    </xf>
    <xf borderId="14" fillId="10" fontId="8" numFmtId="164" xfId="0" applyAlignment="1" applyBorder="1" applyFont="1" applyNumberFormat="1">
      <alignment horizontal="right"/>
    </xf>
    <xf borderId="0" fillId="0" fontId="14" numFmtId="0" xfId="0" applyAlignment="1" applyFont="1">
      <alignment readingOrder="0"/>
    </xf>
    <xf borderId="0" fillId="2" fontId="1" numFmtId="0" xfId="0" applyFont="1"/>
    <xf borderId="0" fillId="2" fontId="1" numFmtId="0" xfId="0" applyAlignment="1" applyFont="1">
      <alignment readingOrder="0"/>
    </xf>
    <xf borderId="19" fillId="2" fontId="2" numFmtId="0" xfId="0" applyAlignment="1" applyBorder="1" applyFont="1">
      <alignment readingOrder="0"/>
    </xf>
    <xf borderId="5" fillId="0" fontId="2" numFmtId="0" xfId="0" applyAlignment="1" applyBorder="1" applyFont="1">
      <alignment readingOrder="0"/>
    </xf>
    <xf borderId="4" fillId="0" fontId="2" numFmtId="0" xfId="0" applyAlignment="1" applyBorder="1" applyFont="1">
      <alignment readingOrder="0"/>
    </xf>
    <xf borderId="0" fillId="0" fontId="1" numFmtId="168" xfId="0" applyAlignment="1" applyFont="1" applyNumberFormat="1">
      <alignment readingOrder="0"/>
    </xf>
    <xf borderId="0" fillId="0" fontId="1" numFmtId="168" xfId="0" applyFont="1" applyNumberFormat="1"/>
    <xf borderId="0" fillId="0" fontId="9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8672"/>
          <c:y val="0.12219"/>
          <c:w val="0.72199"/>
          <c:h val="0.71383"/>
        </c:manualLayout>
      </c:layout>
      <c:scatterChart>
        <c:scatterStyle val="lineMarker"/>
        <c:ser>
          <c:idx val="0"/>
          <c:order val="0"/>
          <c:tx>
            <c:strRef>
              <c:f>Trends!$B$1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Trends!$A$2:$A$80</c:f>
            </c:numRef>
          </c:xVal>
          <c:yVal>
            <c:numRef>
              <c:f>Trends!$B$2:$B$80</c:f>
              <c:numCache/>
            </c:numRef>
          </c:yVal>
        </c:ser>
        <c:ser>
          <c:idx val="1"/>
          <c:order val="1"/>
          <c:tx>
            <c:strRef>
              <c:f>Trends!$C$1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xVal>
            <c:numRef>
              <c:f>Trends!$A$2:$A$80</c:f>
            </c:numRef>
          </c:xVal>
          <c:yVal>
            <c:numRef>
              <c:f>Trends!$C$2:$C$80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784388"/>
        <c:axId val="543250235"/>
      </c:scatterChart>
      <c:valAx>
        <c:axId val="469784388"/>
        <c:scaling>
          <c:orientation val="minMax"/>
          <c:max val="3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Airspeed (m/s)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543250235"/>
      </c:valAx>
      <c:valAx>
        <c:axId val="5432502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Flight Time and Range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469784388"/>
      </c:valAx>
      <c:spPr>
        <a:solidFill>
          <a:srgbClr val="FFFFFF"/>
        </a:solidFill>
      </c:spPr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047999999999998"/>
          <c:y val="0.0604"/>
          <c:w val="0.73706"/>
          <c:h val="0.74832"/>
        </c:manualLayout>
      </c:layout>
      <c:scatterChart>
        <c:scatterStyle val="lineMarker"/>
        <c:varyColors val="0"/>
        <c:ser>
          <c:idx val="0"/>
          <c:order val="0"/>
          <c:tx>
            <c:strRef>
              <c:f>Trends!$B$96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Trends!$A$97:$A$175</c:f>
            </c:numRef>
          </c:xVal>
          <c:yVal>
            <c:numRef>
              <c:f>Trends!$B$97:$B$175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2644387"/>
        <c:axId val="935351128"/>
      </c:scatterChart>
      <c:valAx>
        <c:axId val="1882644387"/>
        <c:scaling>
          <c:orientation val="minMax"/>
          <c:max val="3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Airspeed (m/s)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935351128"/>
      </c:valAx>
      <c:valAx>
        <c:axId val="9353511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Power (W)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882644387"/>
      </c:valAx>
      <c:spPr>
        <a:solidFill>
          <a:srgbClr val="FFFFFF"/>
        </a:solidFill>
      </c:spPr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087"/>
          <c:y val="0.05976"/>
          <c:w val="0.7489600000000001"/>
          <c:h val="0.749000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Trends!$B$177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Trends!$A$178:$A$256</c:f>
            </c:numRef>
          </c:xVal>
          <c:yVal>
            <c:numRef>
              <c:f>Trends!$B$178:$B$256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303470"/>
        <c:axId val="1642727256"/>
      </c:scatterChart>
      <c:valAx>
        <c:axId val="1870303470"/>
        <c:scaling>
          <c:orientation val="minMax"/>
          <c:max val="3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Airspeed (m/s)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642727256"/>
      </c:valAx>
      <c:valAx>
        <c:axId val="16427272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Drag (N)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870303470"/>
      </c:valAx>
      <c:spPr>
        <a:solidFill>
          <a:srgbClr val="FFFFFF"/>
        </a:solidFill>
      </c:spPr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600">
                <a:solidFill>
                  <a:srgbClr val="000000"/>
                </a:solidFill>
                <a:latin typeface="Roboto"/>
              </a:defRPr>
            </a:pPr>
            <a:r>
              <a:rPr b="0" i="0" sz="1600">
                <a:solidFill>
                  <a:srgbClr val="000000"/>
                </a:solidFill>
                <a:latin typeface="Roboto"/>
              </a:rPr>
              <a:t>Power (W)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Trends!$B$96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Trends!$A$97:$A$175</c:f>
            </c:numRef>
          </c:xVal>
          <c:yVal>
            <c:numRef>
              <c:f>Trends!$B$97:$B$175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700147"/>
        <c:axId val="986993687"/>
      </c:scatterChart>
      <c:valAx>
        <c:axId val="21970014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Airspeed (m/s)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986993687"/>
      </c:valAx>
      <c:valAx>
        <c:axId val="9869936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Power (W)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219700147"/>
      </c:valAx>
      <c:spPr>
        <a:solidFill>
          <a:srgbClr val="FFFFFF"/>
        </a:solidFill>
      </c:spPr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tx>
            <c:strRef>
              <c:f>Trends!$B$177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Trends!$A$178:$A$256</c:f>
            </c:numRef>
          </c:xVal>
          <c:yVal>
            <c:numRef>
              <c:f>Trends!$B$178:$B$256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793263"/>
        <c:axId val="798142012"/>
      </c:scatterChart>
      <c:valAx>
        <c:axId val="203679326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798142012"/>
      </c:valAx>
      <c:valAx>
        <c:axId val="7981420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0" i="0">
                    <a:solidFill>
                      <a:srgbClr val="000000"/>
                    </a:solidFill>
                    <a:latin typeface="Roboto"/>
                  </a:rPr>
                  <a:t>Drag (N)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2036793263"/>
      </c:valAx>
      <c:spPr>
        <a:solidFill>
          <a:srgbClr val="FFFFFF"/>
        </a:solidFill>
      </c:spPr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8672"/>
          <c:y val="0.12219"/>
          <c:w val="0.72199"/>
          <c:h val="0.71383"/>
        </c:manualLayout>
      </c:layout>
      <c:scatterChart>
        <c:scatterStyle val="lineMarker"/>
        <c:ser>
          <c:idx val="0"/>
          <c:order val="0"/>
          <c:tx>
            <c:strRef>
              <c:f>'Cruise Mission Trends'!$B$1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Trends!$A$2:$A$80</c:f>
            </c:numRef>
          </c:xVal>
          <c:yVal>
            <c:numRef>
              <c:f>'Cruise Mission Trends'!$B$2:$B$80</c:f>
              <c:numCache/>
            </c:numRef>
          </c:yVal>
        </c:ser>
        <c:ser>
          <c:idx val="1"/>
          <c:order val="1"/>
          <c:tx>
            <c:strRef>
              <c:f>'Cruise Mission Trends'!$C$1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xVal>
            <c:numRef>
              <c:f>Trends!$A$2:$A$80</c:f>
            </c:numRef>
          </c:xVal>
          <c:yVal>
            <c:numRef>
              <c:f>'Cruise Mission Trends'!$C$2:$C$80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967810"/>
        <c:axId val="1754302007"/>
      </c:scatterChart>
      <c:valAx>
        <c:axId val="924967810"/>
        <c:scaling>
          <c:orientation val="minMax"/>
          <c:max val="3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Airspeed (m/s)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754302007"/>
      </c:valAx>
      <c:valAx>
        <c:axId val="17543020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Flight Time and Range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924967810"/>
      </c:valAx>
      <c:spPr>
        <a:solidFill>
          <a:srgbClr val="FFFFFF"/>
        </a:solidFill>
      </c:spPr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600">
                <a:solidFill>
                  <a:srgbClr val="000000"/>
                </a:solidFill>
                <a:latin typeface="Roboto"/>
              </a:defRPr>
            </a:pPr>
            <a:r>
              <a:rPr b="0" i="0" sz="1600">
                <a:solidFill>
                  <a:srgbClr val="000000"/>
                </a:solidFill>
                <a:latin typeface="Roboto"/>
              </a:rPr>
              <a:t>Power (W)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'Cruise Mission Trends'!$B$96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'Cruise Mission Trends'!$A$97:$A$175</c:f>
            </c:numRef>
          </c:xVal>
          <c:yVal>
            <c:numRef>
              <c:f>'Cruise Mission Trends'!$B$97:$B$175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7777429"/>
        <c:axId val="1386514281"/>
      </c:scatterChart>
      <c:valAx>
        <c:axId val="153777742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Airspeed (m/s)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386514281"/>
      </c:valAx>
      <c:valAx>
        <c:axId val="13865142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0" sz="1200">
                    <a:solidFill>
                      <a:srgbClr val="222222"/>
                    </a:solidFill>
                    <a:latin typeface="Roboto"/>
                  </a:rPr>
                  <a:t>Power (W)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537777429"/>
      </c:valAx>
      <c:spPr>
        <a:solidFill>
          <a:srgbClr val="FFFFFF"/>
        </a:solidFill>
      </c:spPr>
    </c:plotArea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tx>
            <c:strRef>
              <c:f>'Cruise Mission Trends'!$B$177</c:f>
            </c:strRef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'Cruise Mission Trends'!$A$178:$A$256</c:f>
            </c:numRef>
          </c:xVal>
          <c:yVal>
            <c:numRef>
              <c:f>'Cruise Mission Trends'!$B$178:$B$256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727732"/>
        <c:axId val="1921232074"/>
      </c:scatterChart>
      <c:valAx>
        <c:axId val="15327277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921232074"/>
      </c:valAx>
      <c:valAx>
        <c:axId val="19212320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0" i="0">
                    <a:solidFill>
                      <a:srgbClr val="000000"/>
                    </a:solidFill>
                    <a:latin typeface="Roboto"/>
                  </a:rPr>
                  <a:t>Drag (N)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532727732"/>
      </c:valAx>
      <c:spPr>
        <a:solidFill>
          <a:srgbClr val="FFFFFF"/>
        </a:solidFill>
      </c:spPr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9525</xdr:colOff>
      <xdr:row>21</xdr:row>
      <xdr:rowOff>104775</xdr:rowOff>
    </xdr:from>
    <xdr:ext cx="4591050" cy="2962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9525</xdr:colOff>
      <xdr:row>34</xdr:row>
      <xdr:rowOff>133350</xdr:rowOff>
    </xdr:from>
    <xdr:ext cx="4581525" cy="20574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9</xdr:col>
      <xdr:colOff>9525</xdr:colOff>
      <xdr:row>45</xdr:row>
      <xdr:rowOff>0</xdr:rowOff>
    </xdr:from>
    <xdr:ext cx="4591050" cy="225742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800100</xdr:colOff>
      <xdr:row>95</xdr:row>
      <xdr:rowOff>28575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514350</xdr:colOff>
      <xdr:row>176</xdr:row>
      <xdr:rowOff>171450</xdr:rowOff>
    </xdr:from>
    <xdr:ext cx="5715000" cy="35337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419100</xdr:colOff>
      <xdr:row>6</xdr:row>
      <xdr:rowOff>38100</xdr:rowOff>
    </xdr:from>
    <xdr:ext cx="4457700" cy="287655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800100</xdr:colOff>
      <xdr:row>95</xdr:row>
      <xdr:rowOff>28575</xdr:rowOff>
    </xdr:from>
    <xdr:ext cx="5715000" cy="353377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514350</xdr:colOff>
      <xdr:row>176</xdr:row>
      <xdr:rowOff>171450</xdr:rowOff>
    </xdr:from>
    <xdr:ext cx="5715000" cy="353377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store-en.tmotor.com/goods.php?id=699" TargetMode="External"/><Relationship Id="rId2" Type="http://schemas.openxmlformats.org/officeDocument/2006/relationships/hyperlink" Target="http://store-en.tmotor.com/goods.php?id=794" TargetMode="External"/><Relationship Id="rId3" Type="http://schemas.openxmlformats.org/officeDocument/2006/relationships/hyperlink" Target="https://www.horizonhobby.com/60-amp-pro-switch-mode-bec-brushless-esc-%28v2%29-efla1060b" TargetMode="External"/><Relationship Id="rId4" Type="http://schemas.openxmlformats.org/officeDocument/2006/relationships/hyperlink" Target="http://store-en.tmotor.com/goods.php?id=383" TargetMode="External"/><Relationship Id="rId5" Type="http://schemas.openxmlformats.org/officeDocument/2006/relationships/hyperlink" Target="https://www.apcprop.com/product/14x8-5ep/" TargetMode="External"/><Relationship Id="rId6" Type="http://schemas.openxmlformats.org/officeDocument/2006/relationships/hyperlink" Target="https://www.apcprop.com/product/14x8-5e/" TargetMode="External"/><Relationship Id="rId7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www.horizonhobby.com/power-46-brushless-outrunner-motor--670kv-eflm4046a" TargetMode="External"/><Relationship Id="rId2" Type="http://schemas.openxmlformats.org/officeDocument/2006/relationships/hyperlink" Target="https://www.rcplanet.com/motors/airplane-motors/great-planes-rimfire-outrunner-brushless-motor-46-42-60-800-gpmg4725/" TargetMode="External"/><Relationship Id="rId3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.5"/>
    <col customWidth="1" min="2" max="2" width="17.63"/>
    <col customWidth="1" min="3" max="3" width="5.38"/>
    <col customWidth="1" min="4" max="4" width="7.0"/>
    <col customWidth="1" min="5" max="5" width="4.88"/>
    <col customWidth="1" min="6" max="6" width="20.63"/>
    <col customWidth="1" min="7" max="7" width="8.5"/>
    <col customWidth="1" min="8" max="8" width="6.25"/>
    <col customWidth="1" min="9" max="9" width="5.25"/>
    <col customWidth="1" min="10" max="10" width="23.5"/>
    <col customWidth="1" min="11" max="11" width="9.13"/>
    <col customWidth="1" min="12" max="12" width="5.25"/>
    <col customWidth="1" min="13" max="13" width="7.0"/>
    <col customWidth="1" min="14" max="14" width="5.5"/>
    <col customWidth="1" min="15" max="15" width="6.0"/>
    <col customWidth="1" min="16" max="16" width="4.0"/>
    <col customWidth="1" min="17" max="17" width="5.0"/>
    <col customWidth="1" min="19" max="19" width="7.0"/>
    <col customWidth="1" min="20" max="20" width="7.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</row>
    <row r="2" ht="15.75" customHeight="1">
      <c r="B2" s="3" t="s">
        <v>1</v>
      </c>
      <c r="C2" s="4" t="s">
        <v>2</v>
      </c>
      <c r="D2" s="5"/>
      <c r="E2" s="6"/>
      <c r="F2" s="7" t="s">
        <v>3</v>
      </c>
      <c r="G2" s="2"/>
      <c r="H2" s="2"/>
      <c r="J2" s="8" t="str">
        <f>HYPERLINK("https://drive.google.com/file/d/0B8reZagxVu_QMldYWEVXb3RaMjg/view?usp=sharing","See Equation Sheet Here")</f>
        <v>See Equation Sheet Here</v>
      </c>
    </row>
    <row r="3" ht="15.75" customHeight="1">
      <c r="B3" s="2"/>
      <c r="H3" s="2"/>
    </row>
    <row r="4" ht="15.75" customHeight="1">
      <c r="B4" s="9" t="s">
        <v>4</v>
      </c>
      <c r="C4" s="5"/>
      <c r="D4" s="6"/>
      <c r="F4" s="9" t="s">
        <v>5</v>
      </c>
      <c r="G4" s="5"/>
      <c r="H4" s="6"/>
      <c r="J4" s="10" t="s">
        <v>6</v>
      </c>
      <c r="K4" s="5"/>
      <c r="L4" s="5"/>
      <c r="M4" s="5"/>
      <c r="N4" s="5"/>
      <c r="O4" s="5"/>
      <c r="P4" s="6"/>
      <c r="R4" s="11" t="s">
        <v>7</v>
      </c>
      <c r="S4" s="5"/>
      <c r="T4" s="6"/>
    </row>
    <row r="5" ht="15.75" customHeight="1">
      <c r="B5" s="12" t="s">
        <v>8</v>
      </c>
      <c r="C5" s="13">
        <v>59.0</v>
      </c>
      <c r="D5" s="14" t="s">
        <v>9</v>
      </c>
      <c r="F5" s="15" t="s">
        <v>10</v>
      </c>
      <c r="G5" s="16">
        <v>55.0</v>
      </c>
      <c r="H5" s="14" t="s">
        <v>11</v>
      </c>
      <c r="J5" s="17" t="s">
        <v>12</v>
      </c>
      <c r="K5" s="18">
        <f>C29+C15+C11</f>
        <v>4.315555556</v>
      </c>
      <c r="L5" s="19" t="s">
        <v>13</v>
      </c>
      <c r="M5" s="15"/>
      <c r="N5" s="14"/>
      <c r="O5" s="15"/>
      <c r="P5" s="14"/>
      <c r="R5" s="15" t="s">
        <v>14</v>
      </c>
      <c r="S5" s="15">
        <v>31.0</v>
      </c>
      <c r="T5" s="14" t="s">
        <v>11</v>
      </c>
    </row>
    <row r="6" ht="15.75" customHeight="1">
      <c r="B6" s="12" t="s">
        <v>15</v>
      </c>
      <c r="C6" s="13">
        <v>1.0</v>
      </c>
      <c r="D6" s="14" t="s">
        <v>16</v>
      </c>
      <c r="F6" s="15" t="s">
        <v>17</v>
      </c>
      <c r="G6" s="20">
        <v>10.0</v>
      </c>
      <c r="H6" s="21"/>
      <c r="J6" s="12" t="s">
        <v>18</v>
      </c>
      <c r="K6" s="22">
        <f>((C11+C29)/K5)*100</f>
        <v>53.65602472</v>
      </c>
      <c r="L6" s="23" t="s">
        <v>19</v>
      </c>
      <c r="M6" s="24"/>
      <c r="N6" s="23"/>
      <c r="O6" s="15"/>
      <c r="P6" s="14"/>
      <c r="R6" s="15" t="s">
        <v>20</v>
      </c>
      <c r="S6" s="15">
        <v>46.0</v>
      </c>
      <c r="T6" s="14" t="s">
        <v>11</v>
      </c>
    </row>
    <row r="7" ht="15.75" customHeight="1">
      <c r="B7" s="12" t="s">
        <v>21</v>
      </c>
      <c r="C7" s="13">
        <v>3.0</v>
      </c>
      <c r="D7" s="14" t="s">
        <v>22</v>
      </c>
      <c r="F7" s="12" t="s">
        <v>23</v>
      </c>
      <c r="G7" s="13">
        <v>1.0</v>
      </c>
      <c r="H7" s="14"/>
      <c r="J7" s="25" t="s">
        <v>24</v>
      </c>
      <c r="K7" s="26">
        <f>1/((PI()*G8*G6*(C18+C17)))^(1/4)*(((K5*9.80665*2)/G9)/C19)^(1/2)</f>
        <v>8.91367876</v>
      </c>
      <c r="L7" s="27" t="s">
        <v>22</v>
      </c>
      <c r="M7" s="28">
        <f t="shared" ref="M7:M9" si="1">K7*3600/1000</f>
        <v>32.08924354</v>
      </c>
      <c r="N7" s="29" t="s">
        <v>25</v>
      </c>
      <c r="O7" s="28">
        <f t="shared" ref="O7:O9" si="2">K7*2.23694</f>
        <v>19.93936457</v>
      </c>
      <c r="P7" s="23" t="s">
        <v>26</v>
      </c>
      <c r="R7" s="15" t="s">
        <v>27</v>
      </c>
      <c r="S7" s="15">
        <v>62.0</v>
      </c>
      <c r="T7" s="14" t="s">
        <v>11</v>
      </c>
    </row>
    <row r="8" ht="15.75" customHeight="1">
      <c r="B8" s="12" t="s">
        <v>28</v>
      </c>
      <c r="C8" s="13">
        <v>10.0</v>
      </c>
      <c r="D8" s="14" t="s">
        <v>22</v>
      </c>
      <c r="F8" s="15" t="s">
        <v>29</v>
      </c>
      <c r="G8" s="30">
        <v>0.85</v>
      </c>
      <c r="H8" s="14"/>
      <c r="J8" s="25" t="s">
        <v>30</v>
      </c>
      <c r="K8" s="26">
        <f>2/((12*PI()*G8*G6*(C18+C17)))^0.25*(((K5*9.80665)/G9)/C19)^0.5</f>
        <v>6.772931212</v>
      </c>
      <c r="L8" s="27" t="s">
        <v>22</v>
      </c>
      <c r="M8" s="28">
        <f t="shared" si="1"/>
        <v>24.38255236</v>
      </c>
      <c r="N8" s="29" t="s">
        <v>25</v>
      </c>
      <c r="O8" s="28">
        <f t="shared" si="2"/>
        <v>15.15064075</v>
      </c>
      <c r="P8" s="23" t="s">
        <v>26</v>
      </c>
      <c r="R8" s="15" t="s">
        <v>31</v>
      </c>
      <c r="S8" s="15">
        <v>76.0</v>
      </c>
      <c r="T8" s="14" t="s">
        <v>11</v>
      </c>
    </row>
    <row r="9" ht="15.75" customHeight="1">
      <c r="F9" s="15" t="s">
        <v>32</v>
      </c>
      <c r="G9" s="24">
        <f>(K5*1000/G5)/100</f>
        <v>0.7846464646</v>
      </c>
      <c r="H9" s="23" t="s">
        <v>33</v>
      </c>
      <c r="J9" s="31" t="s">
        <v>34</v>
      </c>
      <c r="K9" s="32">
        <f>(2/G14)^0.5*(((K5*9.80665)/G9)/C19)^0.5</f>
        <v>7.662015152</v>
      </c>
      <c r="L9" s="33" t="s">
        <v>22</v>
      </c>
      <c r="M9" s="28">
        <f t="shared" si="1"/>
        <v>27.58325455</v>
      </c>
      <c r="N9" s="29" t="s">
        <v>25</v>
      </c>
      <c r="O9" s="28">
        <f t="shared" si="2"/>
        <v>17.13946817</v>
      </c>
      <c r="P9" s="23" t="s">
        <v>26</v>
      </c>
    </row>
    <row r="10" ht="15.75" customHeight="1">
      <c r="B10" s="9" t="s">
        <v>35</v>
      </c>
      <c r="C10" s="5"/>
      <c r="D10" s="6"/>
      <c r="F10" s="15" t="s">
        <v>36</v>
      </c>
      <c r="G10" s="34">
        <f>SQRT(G6*G9)/2</f>
        <v>1.400577082</v>
      </c>
      <c r="H10" s="14" t="s">
        <v>37</v>
      </c>
    </row>
    <row r="11" ht="15.75" customHeight="1">
      <c r="B11" s="15" t="s">
        <v>38</v>
      </c>
      <c r="C11" s="13">
        <v>1.0</v>
      </c>
      <c r="D11" s="35" t="s">
        <v>13</v>
      </c>
      <c r="F11" s="12" t="s">
        <v>39</v>
      </c>
      <c r="G11" s="34">
        <f>(2*G9)/(2*G10*(1+G7))</f>
        <v>0.2801154163</v>
      </c>
      <c r="H11" s="14" t="s">
        <v>37</v>
      </c>
      <c r="J11" s="10" t="s">
        <v>40</v>
      </c>
      <c r="K11" s="5"/>
      <c r="L11" s="5"/>
      <c r="M11" s="5"/>
      <c r="N11" s="5"/>
      <c r="O11" s="5"/>
      <c r="P11" s="6"/>
    </row>
    <row r="12" ht="15.75" customHeight="1">
      <c r="B12" s="15" t="s">
        <v>41</v>
      </c>
      <c r="C12" s="13">
        <v>0.0</v>
      </c>
      <c r="D12" s="14" t="s">
        <v>42</v>
      </c>
      <c r="F12" s="12" t="s">
        <v>43</v>
      </c>
      <c r="G12" s="34">
        <f>G11*G7</f>
        <v>0.2801154163</v>
      </c>
      <c r="H12" s="14" t="s">
        <v>37</v>
      </c>
      <c r="I12" s="36"/>
      <c r="J12" s="12" t="s">
        <v>44</v>
      </c>
      <c r="K12" s="13">
        <v>10.0</v>
      </c>
      <c r="L12" s="14" t="s">
        <v>22</v>
      </c>
      <c r="M12" s="28">
        <f>K12*3600/1000</f>
        <v>36</v>
      </c>
      <c r="N12" s="29" t="s">
        <v>25</v>
      </c>
      <c r="O12" s="28">
        <f>K12*2.23694</f>
        <v>22.3694</v>
      </c>
      <c r="P12" s="23" t="s">
        <v>26</v>
      </c>
    </row>
    <row r="13" ht="15.75" customHeight="1">
      <c r="F13" s="15" t="s">
        <v>45</v>
      </c>
      <c r="G13" s="24">
        <f>G9/(G10*2)</f>
        <v>0.2801154163</v>
      </c>
      <c r="H13" s="14" t="s">
        <v>37</v>
      </c>
      <c r="I13" s="36"/>
      <c r="J13" s="12" t="s">
        <v>46</v>
      </c>
      <c r="K13" s="28">
        <f>($K$5*9.80665)/(0.5*$C$19*K12^2*$G$9)</f>
        <v>0.8805971429</v>
      </c>
      <c r="L13" s="37"/>
      <c r="M13" s="38" t="s">
        <v>47</v>
      </c>
      <c r="N13" s="5"/>
      <c r="O13" s="28">
        <f t="shared" ref="O13:O14" si="3">(K13*0.5*$C$19*$K$12^2*$G$9)/9.80665</f>
        <v>4.315555556</v>
      </c>
      <c r="P13" s="14" t="s">
        <v>13</v>
      </c>
    </row>
    <row r="14" ht="15.75" customHeight="1">
      <c r="B14" s="9" t="s">
        <v>48</v>
      </c>
      <c r="C14" s="5"/>
      <c r="D14" s="6"/>
      <c r="F14" s="15" t="s">
        <v>49</v>
      </c>
      <c r="G14" s="13">
        <v>1.5</v>
      </c>
      <c r="H14" s="14"/>
      <c r="I14" s="36"/>
      <c r="J14" s="12" t="s">
        <v>50</v>
      </c>
      <c r="K14" s="39">
        <f>(C18+C17)+K13^2/(PI()*G8*G6)</f>
        <v>0.07503927341</v>
      </c>
      <c r="L14" s="37"/>
      <c r="M14" s="38" t="s">
        <v>51</v>
      </c>
      <c r="N14" s="5"/>
      <c r="O14" s="40">
        <f t="shared" si="3"/>
        <v>0.3677460867</v>
      </c>
      <c r="P14" s="14" t="s">
        <v>13</v>
      </c>
      <c r="R14" s="11" t="s">
        <v>52</v>
      </c>
      <c r="S14" s="5"/>
      <c r="T14" s="6"/>
    </row>
    <row r="15" ht="15.75" customHeight="1">
      <c r="B15" s="12" t="s">
        <v>53</v>
      </c>
      <c r="C15" s="13">
        <v>2.0</v>
      </c>
      <c r="D15" s="14" t="s">
        <v>13</v>
      </c>
      <c r="I15" s="36"/>
      <c r="J15" s="41" t="s">
        <v>54</v>
      </c>
      <c r="K15" s="42">
        <v>0.6</v>
      </c>
      <c r="L15" s="43" t="s">
        <v>37</v>
      </c>
      <c r="M15" s="15"/>
      <c r="N15" s="44"/>
      <c r="O15" s="45">
        <f t="shared" ref="O15:O16" si="4">K15/0.3048</f>
        <v>1.968503937</v>
      </c>
      <c r="P15" s="46" t="s">
        <v>55</v>
      </c>
      <c r="R15" s="12"/>
      <c r="S15" s="47"/>
      <c r="T15" s="14"/>
    </row>
    <row r="16" ht="15.75" customHeight="1">
      <c r="B16" s="12" t="s">
        <v>56</v>
      </c>
      <c r="C16" s="30">
        <v>1.0</v>
      </c>
      <c r="D16" s="14" t="s">
        <v>42</v>
      </c>
      <c r="I16" s="36"/>
      <c r="J16" s="41" t="s">
        <v>57</v>
      </c>
      <c r="K16" s="42">
        <v>3.0</v>
      </c>
      <c r="L16" s="43" t="s">
        <v>37</v>
      </c>
      <c r="M16" s="15"/>
      <c r="N16" s="44"/>
      <c r="O16" s="45">
        <f t="shared" si="4"/>
        <v>9.842519685</v>
      </c>
      <c r="P16" s="46" t="s">
        <v>55</v>
      </c>
      <c r="R16" s="12" t="s">
        <v>58</v>
      </c>
      <c r="S16" s="47" t="s">
        <v>59</v>
      </c>
      <c r="T16" s="14" t="s">
        <v>19</v>
      </c>
    </row>
    <row r="17" ht="15.75" customHeight="1">
      <c r="B17" s="12" t="s">
        <v>60</v>
      </c>
      <c r="C17" s="48">
        <v>0.03</v>
      </c>
      <c r="D17" s="49"/>
      <c r="F17" s="9" t="s">
        <v>61</v>
      </c>
      <c r="G17" s="5"/>
      <c r="H17" s="6"/>
      <c r="I17" s="36"/>
      <c r="J17" s="41" t="s">
        <v>62</v>
      </c>
      <c r="K17" s="50">
        <f>(1.225*0.35*2*K15*K16*K12^2)/2</f>
        <v>77.175</v>
      </c>
      <c r="L17" s="43" t="s">
        <v>63</v>
      </c>
      <c r="M17" s="15"/>
      <c r="N17" s="44"/>
      <c r="O17" s="45">
        <f>K17/9.81</f>
        <v>7.866972477</v>
      </c>
      <c r="P17" s="46" t="s">
        <v>13</v>
      </c>
      <c r="R17" s="12" t="s">
        <v>64</v>
      </c>
      <c r="S17" s="47" t="s">
        <v>65</v>
      </c>
      <c r="T17" s="14" t="s">
        <v>19</v>
      </c>
    </row>
    <row r="18" ht="15.75" customHeight="1">
      <c r="B18" s="15" t="s">
        <v>66</v>
      </c>
      <c r="C18" s="51">
        <v>0.016</v>
      </c>
      <c r="D18" s="14"/>
      <c r="F18" s="15" t="s">
        <v>67</v>
      </c>
      <c r="G18" s="13">
        <v>0.5</v>
      </c>
      <c r="H18" s="14"/>
      <c r="I18" s="36"/>
      <c r="J18" s="12" t="s">
        <v>68</v>
      </c>
      <c r="K18" s="28">
        <f>K13/K14</f>
        <v>11.73515018</v>
      </c>
      <c r="L18" s="37"/>
      <c r="M18" s="15"/>
      <c r="N18" s="46" t="s">
        <v>69</v>
      </c>
      <c r="O18" s="45">
        <f>((1.225*K12^2*G9*G14)/2)/(((K14*K12^2*0.1*1.225)/2)+K17)</f>
        <v>0.9285728206</v>
      </c>
      <c r="P18" s="52"/>
      <c r="R18" s="53" t="s">
        <v>70</v>
      </c>
      <c r="S18" s="54" t="s">
        <v>71</v>
      </c>
      <c r="T18" s="55" t="s">
        <v>19</v>
      </c>
    </row>
    <row r="19" ht="15.75" customHeight="1">
      <c r="B19" s="15" t="s">
        <v>72</v>
      </c>
      <c r="C19" s="30">
        <v>1.225</v>
      </c>
      <c r="D19" s="14" t="s">
        <v>73</v>
      </c>
      <c r="F19" s="15" t="s">
        <v>74</v>
      </c>
      <c r="G19" s="56">
        <v>1.0</v>
      </c>
      <c r="H19" s="14" t="s">
        <v>37</v>
      </c>
      <c r="J19" s="12" t="s">
        <v>21</v>
      </c>
      <c r="K19" s="57">
        <f>K12-K9</f>
        <v>2.337984848</v>
      </c>
      <c r="L19" s="58" t="s">
        <v>22</v>
      </c>
      <c r="M19" s="57">
        <f>M12-M9</f>
        <v>8.416745453</v>
      </c>
      <c r="N19" s="23" t="s">
        <v>25</v>
      </c>
      <c r="O19" s="57">
        <f>O12-O9</f>
        <v>5.229931826</v>
      </c>
      <c r="P19" s="23" t="s">
        <v>26</v>
      </c>
      <c r="R19" s="59"/>
      <c r="S19" s="59"/>
      <c r="T19" s="59"/>
    </row>
    <row r="20" ht="15.75" customHeight="1">
      <c r="B20" s="2"/>
      <c r="F20" s="12" t="s">
        <v>17</v>
      </c>
      <c r="G20" s="13">
        <v>3.0</v>
      </c>
      <c r="H20" s="14"/>
      <c r="J20" s="60" t="s">
        <v>75</v>
      </c>
      <c r="K20" s="61">
        <f>(((C22/1000)*C26*C30*0.01)/(C33+(C12+C16)/C28))*60</f>
        <v>99.36053546</v>
      </c>
      <c r="L20" s="27" t="s">
        <v>9</v>
      </c>
      <c r="M20" s="62">
        <f>K20/60</f>
        <v>1.656008924</v>
      </c>
      <c r="N20" s="63" t="s">
        <v>76</v>
      </c>
      <c r="O20" s="64"/>
      <c r="P20" s="65"/>
      <c r="R20" s="11" t="s">
        <v>77</v>
      </c>
      <c r="S20" s="5"/>
      <c r="T20" s="66"/>
    </row>
    <row r="21" ht="15.75" customHeight="1">
      <c r="B21" s="9" t="s">
        <v>78</v>
      </c>
      <c r="C21" s="5"/>
      <c r="D21" s="5"/>
      <c r="F21" s="12" t="s">
        <v>23</v>
      </c>
      <c r="G21" s="30">
        <v>1.0</v>
      </c>
      <c r="H21" s="14"/>
      <c r="J21" s="67" t="s">
        <v>79</v>
      </c>
      <c r="K21" s="68">
        <f>K20*60*K12/1000</f>
        <v>59.61632128</v>
      </c>
      <c r="L21" s="33" t="s">
        <v>16</v>
      </c>
      <c r="M21" s="69">
        <f>K21/1.61</f>
        <v>37.02877098</v>
      </c>
      <c r="N21" s="70" t="s">
        <v>80</v>
      </c>
      <c r="O21" s="44"/>
      <c r="P21" s="71"/>
      <c r="R21" s="15" t="s">
        <v>81</v>
      </c>
      <c r="S21" s="15">
        <v>3.7</v>
      </c>
      <c r="T21" s="14" t="s">
        <v>82</v>
      </c>
    </row>
    <row r="22" ht="15.75" customHeight="1">
      <c r="B22" s="12" t="s">
        <v>83</v>
      </c>
      <c r="C22" s="13">
        <v>4000.0</v>
      </c>
      <c r="D22" s="14" t="s">
        <v>84</v>
      </c>
      <c r="F22" s="15" t="s">
        <v>85</v>
      </c>
      <c r="G22" s="24">
        <f>G18*G13*G9/G19</f>
        <v>0.1098957856</v>
      </c>
      <c r="H22" s="23" t="s">
        <v>33</v>
      </c>
      <c r="R22" s="15" t="s">
        <v>86</v>
      </c>
      <c r="S22" s="15">
        <v>3.6</v>
      </c>
      <c r="T22" s="14" t="s">
        <v>82</v>
      </c>
    </row>
    <row r="23" ht="15.75" customHeight="1">
      <c r="B23" s="12" t="s">
        <v>87</v>
      </c>
      <c r="C23" s="30">
        <v>135.0</v>
      </c>
      <c r="D23" s="14" t="s">
        <v>88</v>
      </c>
      <c r="F23" s="15" t="s">
        <v>36</v>
      </c>
      <c r="G23" s="34">
        <f>SQRT(G20*G22)/2</f>
        <v>0.2870920395</v>
      </c>
      <c r="H23" s="14" t="s">
        <v>37</v>
      </c>
      <c r="M23" s="57"/>
      <c r="N23" s="57"/>
      <c r="O23" s="57"/>
      <c r="P23" s="57"/>
    </row>
    <row r="24" ht="15.75" customHeight="1">
      <c r="B24" s="12" t="s">
        <v>89</v>
      </c>
      <c r="C24" s="30">
        <v>3.7</v>
      </c>
      <c r="D24" s="14" t="s">
        <v>82</v>
      </c>
      <c r="F24" s="12" t="s">
        <v>90</v>
      </c>
      <c r="G24" s="72">
        <f>ATAN((G25-G26)*0.75/G23)*180/PI()</f>
        <v>0</v>
      </c>
      <c r="H24" s="14" t="s">
        <v>91</v>
      </c>
    </row>
    <row r="25" ht="15.75" customHeight="1">
      <c r="B25" s="12" t="s">
        <v>92</v>
      </c>
      <c r="C25" s="13">
        <v>6.0</v>
      </c>
      <c r="D25" s="14"/>
      <c r="F25" s="15" t="s">
        <v>39</v>
      </c>
      <c r="G25" s="34">
        <f>(2*G22)/(2*G23*(1+G21))</f>
        <v>0.191394693</v>
      </c>
      <c r="H25" s="14" t="s">
        <v>37</v>
      </c>
    </row>
    <row r="26" ht="15.75" customHeight="1">
      <c r="B26" s="12" t="s">
        <v>93</v>
      </c>
      <c r="C26" s="13">
        <v>2.0</v>
      </c>
      <c r="D26" s="14"/>
      <c r="F26" s="12" t="s">
        <v>43</v>
      </c>
      <c r="G26" s="34">
        <f>G25*G21</f>
        <v>0.191394693</v>
      </c>
      <c r="H26" s="14" t="s">
        <v>37</v>
      </c>
    </row>
    <row r="27" ht="15.75" customHeight="1">
      <c r="B27" s="15" t="s">
        <v>94</v>
      </c>
      <c r="C27" s="15">
        <f>C22*C26</f>
        <v>8000</v>
      </c>
      <c r="D27" s="14" t="s">
        <v>84</v>
      </c>
    </row>
    <row r="28" ht="15.75" customHeight="1">
      <c r="B28" s="15" t="s">
        <v>95</v>
      </c>
      <c r="C28" s="15">
        <f>C24*C25</f>
        <v>22.2</v>
      </c>
      <c r="D28" s="14" t="s">
        <v>82</v>
      </c>
      <c r="F28" s="9" t="s">
        <v>96</v>
      </c>
      <c r="G28" s="5"/>
      <c r="H28" s="6"/>
    </row>
    <row r="29" ht="15.75" customHeight="1">
      <c r="B29" s="12" t="s">
        <v>97</v>
      </c>
      <c r="C29" s="73">
        <f>(C22*C26*0.001*C28)/C23</f>
        <v>1.315555556</v>
      </c>
      <c r="D29" s="14" t="s">
        <v>13</v>
      </c>
      <c r="F29" s="15" t="s">
        <v>98</v>
      </c>
      <c r="G29" s="13">
        <v>0.04</v>
      </c>
      <c r="H29" s="14"/>
    </row>
    <row r="30" ht="15.75" customHeight="1">
      <c r="B30" s="15" t="s">
        <v>99</v>
      </c>
      <c r="C30" s="30">
        <v>85.0</v>
      </c>
      <c r="D30" s="14" t="s">
        <v>19</v>
      </c>
      <c r="F30" s="15" t="s">
        <v>74</v>
      </c>
      <c r="G30" s="56">
        <v>1.0</v>
      </c>
      <c r="H30" s="14" t="s">
        <v>37</v>
      </c>
      <c r="M30" s="2"/>
    </row>
    <row r="31" ht="15.75" customHeight="1">
      <c r="B31" s="15" t="s">
        <v>100</v>
      </c>
      <c r="C31" s="30">
        <v>40.0</v>
      </c>
      <c r="D31" s="14" t="s">
        <v>19</v>
      </c>
      <c r="F31" s="15" t="s">
        <v>36</v>
      </c>
      <c r="G31" s="74">
        <v>0.341</v>
      </c>
      <c r="H31" s="14" t="s">
        <v>37</v>
      </c>
      <c r="M31" s="75"/>
      <c r="N31" s="76"/>
    </row>
    <row r="32" ht="15.75" customHeight="1">
      <c r="B32" s="12" t="s">
        <v>101</v>
      </c>
      <c r="C32" s="28">
        <f>((((K5*9.80665*K12)/K18)))*100/C31</f>
        <v>90.15892903</v>
      </c>
      <c r="D32" s="14" t="s">
        <v>42</v>
      </c>
      <c r="F32" s="12" t="s">
        <v>23</v>
      </c>
      <c r="G32" s="30">
        <v>1.0</v>
      </c>
      <c r="H32" s="14"/>
      <c r="M32" s="75"/>
      <c r="N32" s="76"/>
    </row>
    <row r="33" ht="15.75" customHeight="1">
      <c r="B33" s="15" t="s">
        <v>102</v>
      </c>
      <c r="C33" s="28">
        <f>((((K5*9.80665*K12)/K18))/C28)*100/C31</f>
        <v>4.061213019</v>
      </c>
      <c r="D33" s="23" t="s">
        <v>103</v>
      </c>
      <c r="F33" s="15" t="s">
        <v>85</v>
      </c>
      <c r="G33" s="24">
        <f>G29*G9*G10*2/G30</f>
        <v>0.08791662845</v>
      </c>
      <c r="H33" s="23" t="s">
        <v>33</v>
      </c>
      <c r="M33" s="75"/>
      <c r="N33" s="76"/>
    </row>
    <row r="34" ht="15.75" customHeight="1">
      <c r="B34" s="76"/>
      <c r="D34" s="77"/>
      <c r="F34" s="15" t="s">
        <v>39</v>
      </c>
      <c r="G34" s="34">
        <f>(2*G33)/(G31*(1+G32))</f>
        <v>0.2578200248</v>
      </c>
      <c r="H34" s="14" t="s">
        <v>37</v>
      </c>
    </row>
    <row r="35" ht="15.75" customHeight="1">
      <c r="F35" s="12" t="s">
        <v>43</v>
      </c>
      <c r="G35" s="34">
        <f>G34*G32</f>
        <v>0.2578200248</v>
      </c>
      <c r="H35" s="14" t="s">
        <v>37</v>
      </c>
      <c r="O35" s="76" t="s">
        <v>104</v>
      </c>
    </row>
    <row r="36" ht="15.75" customHeight="1"/>
    <row r="37" ht="15.75" customHeight="1"/>
    <row r="38" ht="15.75" customHeight="1"/>
    <row r="39" ht="15.75" customHeight="1">
      <c r="J39" s="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8">
    <mergeCell ref="C2:E2"/>
    <mergeCell ref="B3:G3"/>
    <mergeCell ref="B4:D4"/>
    <mergeCell ref="F4:H4"/>
    <mergeCell ref="J4:P4"/>
    <mergeCell ref="R4:T4"/>
    <mergeCell ref="B10:D10"/>
    <mergeCell ref="B20:D20"/>
    <mergeCell ref="B21:D21"/>
    <mergeCell ref="F28:H28"/>
    <mergeCell ref="M30:N30"/>
    <mergeCell ref="J11:P11"/>
    <mergeCell ref="M13:N13"/>
    <mergeCell ref="B14:D14"/>
    <mergeCell ref="M14:N14"/>
    <mergeCell ref="R14:T14"/>
    <mergeCell ref="F17:H17"/>
    <mergeCell ref="R20:T20"/>
  </mergeCells>
  <conditionalFormatting sqref="N21">
    <cfRule type="expression" dxfId="0" priority="1">
      <formula>K21&lt;C6</formula>
    </cfRule>
  </conditionalFormatting>
  <conditionalFormatting sqref="N20">
    <cfRule type="expression" dxfId="0" priority="2">
      <formula>K20&lt;C5</formula>
    </cfRule>
  </conditionalFormatting>
  <conditionalFormatting sqref="K21">
    <cfRule type="cellIs" dxfId="0" priority="3" operator="lessThan">
      <formula>C6</formula>
    </cfRule>
  </conditionalFormatting>
  <conditionalFormatting sqref="L21">
    <cfRule type="expression" dxfId="0" priority="4">
      <formula>K21&lt;C6</formula>
    </cfRule>
  </conditionalFormatting>
  <conditionalFormatting sqref="M21">
    <cfRule type="expression" dxfId="0" priority="5">
      <formula>K21&lt;C6</formula>
    </cfRule>
  </conditionalFormatting>
  <conditionalFormatting sqref="P21">
    <cfRule type="expression" dxfId="0" priority="6">
      <formula>L21&lt;D6</formula>
    </cfRule>
  </conditionalFormatting>
  <conditionalFormatting sqref="K20">
    <cfRule type="cellIs" dxfId="0" priority="7" operator="lessThan">
      <formula>C5</formula>
    </cfRule>
  </conditionalFormatting>
  <conditionalFormatting sqref="M20">
    <cfRule type="expression" dxfId="0" priority="8">
      <formula>K20&lt;C5</formula>
    </cfRule>
  </conditionalFormatting>
  <conditionalFormatting sqref="L20">
    <cfRule type="expression" dxfId="0" priority="9">
      <formula>K20&lt;C5</formula>
    </cfRule>
  </conditionalFormatting>
  <conditionalFormatting sqref="P20">
    <cfRule type="expression" dxfId="0" priority="10">
      <formula>L20&lt;D5</formula>
    </cfRule>
  </conditionalFormatting>
  <conditionalFormatting sqref="L12">
    <cfRule type="expression" dxfId="0" priority="11">
      <formula>(K12 - K9)&lt;C7</formula>
    </cfRule>
  </conditionalFormatting>
  <conditionalFormatting sqref="M12">
    <cfRule type="expression" dxfId="0" priority="12">
      <formula>(K12 - K9)&lt;C7</formula>
    </cfRule>
  </conditionalFormatting>
  <conditionalFormatting sqref="N12">
    <cfRule type="expression" dxfId="0" priority="13">
      <formula>(K12 - K9)&lt;C7</formula>
    </cfRule>
  </conditionalFormatting>
  <conditionalFormatting sqref="O12">
    <cfRule type="expression" dxfId="0" priority="14">
      <formula>(K12 - K9)&lt;C7</formula>
    </cfRule>
  </conditionalFormatting>
  <conditionalFormatting sqref="P12">
    <cfRule type="expression" dxfId="0" priority="15">
      <formula>(K12 - K9)&lt;C7</formula>
    </cfRule>
  </conditionalFormatting>
  <conditionalFormatting sqref="K19">
    <cfRule type="expression" dxfId="0" priority="16">
      <formula>(K12 - K9)&lt;C7</formula>
    </cfRule>
  </conditionalFormatting>
  <conditionalFormatting sqref="L19">
    <cfRule type="expression" dxfId="0" priority="17">
      <formula>(K12 - K9)&lt;C7</formula>
    </cfRule>
  </conditionalFormatting>
  <conditionalFormatting sqref="M19">
    <cfRule type="expression" dxfId="0" priority="18">
      <formula>(K12 - K9)&lt;C7</formula>
    </cfRule>
  </conditionalFormatting>
  <conditionalFormatting sqref="N19">
    <cfRule type="expression" dxfId="0" priority="19">
      <formula>(K12 - K9)&lt;C7</formula>
    </cfRule>
  </conditionalFormatting>
  <conditionalFormatting sqref="O19">
    <cfRule type="expression" dxfId="0" priority="20">
      <formula>(K12 - K9)&lt;C7</formula>
    </cfRule>
  </conditionalFormatting>
  <conditionalFormatting sqref="P19">
    <cfRule type="expression" dxfId="0" priority="21">
      <formula>(K12 - K9)&lt;C7</formula>
    </cfRule>
  </conditionalFormatting>
  <conditionalFormatting sqref="K9">
    <cfRule type="expression" dxfId="0" priority="22">
      <formula>K9&gt;C8</formula>
    </cfRule>
  </conditionalFormatting>
  <conditionalFormatting sqref="L9">
    <cfRule type="expression" dxfId="0" priority="23">
      <formula>K9&gt;C8</formula>
    </cfRule>
  </conditionalFormatting>
  <conditionalFormatting sqref="M9">
    <cfRule type="expression" dxfId="0" priority="24">
      <formula>K9&gt;C8</formula>
    </cfRule>
  </conditionalFormatting>
  <conditionalFormatting sqref="N9">
    <cfRule type="expression" dxfId="0" priority="25">
      <formula>K9&gt;C8</formula>
    </cfRule>
  </conditionalFormatting>
  <conditionalFormatting sqref="O9">
    <cfRule type="expression" dxfId="0" priority="26">
      <formula>K9&gt;C8</formula>
    </cfRule>
  </conditionalFormatting>
  <conditionalFormatting sqref="P9">
    <cfRule type="expression" dxfId="0" priority="27">
      <formula>K9&gt;C8</formula>
    </cfRule>
  </conditionalFormatting>
  <conditionalFormatting sqref="P9">
    <cfRule type="expression" dxfId="0" priority="28">
      <formula>K9&gt;C8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4.13"/>
    <col customWidth="1" min="4" max="4" width="16.88"/>
    <col customWidth="1" min="6" max="6" width="37.63"/>
  </cols>
  <sheetData>
    <row r="1">
      <c r="A1" s="1" t="s">
        <v>274</v>
      </c>
      <c r="B1" s="1" t="s">
        <v>254</v>
      </c>
      <c r="C1" s="1" t="s">
        <v>275</v>
      </c>
      <c r="D1" s="1" t="s">
        <v>276</v>
      </c>
      <c r="E1" s="1" t="s">
        <v>277</v>
      </c>
      <c r="F1" s="1" t="s">
        <v>278</v>
      </c>
    </row>
    <row r="2">
      <c r="A2" s="1" t="s">
        <v>279</v>
      </c>
      <c r="B2" s="136">
        <v>109.9</v>
      </c>
      <c r="C2" s="1">
        <v>2.0</v>
      </c>
      <c r="D2" s="1" t="s">
        <v>280</v>
      </c>
      <c r="E2" s="137">
        <f t="shared" ref="E2:E7" si="1">B2*C2</f>
        <v>219.8</v>
      </c>
      <c r="F2" s="1" t="s">
        <v>281</v>
      </c>
      <c r="G2" s="130" t="s">
        <v>282</v>
      </c>
    </row>
    <row r="3">
      <c r="A3" s="1" t="s">
        <v>283</v>
      </c>
      <c r="B3" s="136">
        <v>79.99</v>
      </c>
      <c r="C3" s="1">
        <v>2.0</v>
      </c>
      <c r="D3" s="1" t="s">
        <v>280</v>
      </c>
      <c r="E3" s="137">
        <f t="shared" si="1"/>
        <v>159.98</v>
      </c>
      <c r="F3" s="1" t="s">
        <v>284</v>
      </c>
      <c r="G3" s="130" t="s">
        <v>285</v>
      </c>
    </row>
    <row r="4">
      <c r="A4" s="1" t="s">
        <v>286</v>
      </c>
      <c r="B4" s="136">
        <v>85.0</v>
      </c>
      <c r="C4" s="1">
        <v>4.0</v>
      </c>
      <c r="E4" s="137">
        <f t="shared" si="1"/>
        <v>340</v>
      </c>
      <c r="F4" s="1" t="s">
        <v>287</v>
      </c>
      <c r="G4" s="130" t="s">
        <v>288</v>
      </c>
    </row>
    <row r="5">
      <c r="A5" s="1" t="s">
        <v>289</v>
      </c>
      <c r="B5" s="136">
        <v>71.9</v>
      </c>
      <c r="C5" s="1">
        <v>1.0</v>
      </c>
      <c r="D5" s="1" t="s">
        <v>290</v>
      </c>
      <c r="E5" s="137">
        <f t="shared" si="1"/>
        <v>71.9</v>
      </c>
      <c r="F5" s="1" t="s">
        <v>291</v>
      </c>
      <c r="G5" s="130" t="s">
        <v>292</v>
      </c>
    </row>
    <row r="6">
      <c r="A6" s="1" t="s">
        <v>293</v>
      </c>
      <c r="B6" s="136">
        <v>5.99</v>
      </c>
      <c r="C6" s="1">
        <v>1.0</v>
      </c>
      <c r="D6" s="1" t="s">
        <v>294</v>
      </c>
      <c r="E6" s="137">
        <f t="shared" si="1"/>
        <v>5.99</v>
      </c>
      <c r="F6" s="1" t="s">
        <v>295</v>
      </c>
      <c r="G6" s="130" t="s">
        <v>296</v>
      </c>
    </row>
    <row r="7">
      <c r="A7" s="1" t="s">
        <v>297</v>
      </c>
      <c r="B7" s="136">
        <v>5.99</v>
      </c>
      <c r="C7" s="1">
        <v>1.0</v>
      </c>
      <c r="D7" s="1" t="s">
        <v>294</v>
      </c>
      <c r="E7" s="137">
        <f t="shared" si="1"/>
        <v>5.99</v>
      </c>
      <c r="F7" s="1" t="s">
        <v>295</v>
      </c>
      <c r="G7" s="130" t="s">
        <v>298</v>
      </c>
    </row>
    <row r="8">
      <c r="B8" s="137"/>
    </row>
    <row r="9">
      <c r="D9" s="138" t="s">
        <v>299</v>
      </c>
      <c r="E9" s="137">
        <f>SUM(E2:E8)</f>
        <v>803.66</v>
      </c>
    </row>
  </sheetData>
  <hyperlinks>
    <hyperlink r:id="rId1" ref="G2"/>
    <hyperlink r:id="rId2" ref="G3"/>
    <hyperlink r:id="rId3" ref="G4"/>
    <hyperlink r:id="rId4" ref="G5"/>
    <hyperlink r:id="rId5" ref="G6"/>
    <hyperlink r:id="rId6" ref="G7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2.63"/>
    <col customWidth="1" min="2" max="2" width="16.75"/>
    <col customWidth="1" min="3" max="3" width="13.13"/>
    <col customWidth="1" min="4" max="4" width="11.38"/>
    <col customWidth="1" min="5" max="6" width="12.63"/>
    <col customWidth="1" min="7" max="7" width="12.5"/>
    <col customWidth="1" min="8" max="8" width="11.13"/>
  </cols>
  <sheetData>
    <row r="1" ht="15.75" customHeight="1">
      <c r="A1" s="2" t="s">
        <v>105</v>
      </c>
      <c r="B1" s="2"/>
      <c r="C1" s="2" t="s">
        <v>106</v>
      </c>
      <c r="D1" s="78" t="s">
        <v>107</v>
      </c>
      <c r="F1" s="76" t="s">
        <v>108</v>
      </c>
      <c r="G1" s="2" t="s">
        <v>50</v>
      </c>
      <c r="H1" s="2" t="s">
        <v>46</v>
      </c>
      <c r="I1" s="76" t="s">
        <v>109</v>
      </c>
      <c r="J1" s="2" t="s">
        <v>110</v>
      </c>
      <c r="K1" s="2" t="s">
        <v>111</v>
      </c>
    </row>
    <row r="2" ht="15.75" customHeight="1">
      <c r="A2">
        <f>Metric!K12</f>
        <v>10</v>
      </c>
      <c r="B2" s="76" t="s">
        <v>44</v>
      </c>
      <c r="C2" s="79"/>
      <c r="D2" s="79"/>
      <c r="G2" s="80"/>
      <c r="H2" s="80"/>
      <c r="J2" s="81"/>
      <c r="K2" s="81"/>
      <c r="L2" s="76"/>
      <c r="M2" s="76"/>
    </row>
    <row r="3" ht="15.75" customHeight="1">
      <c r="A3" s="57">
        <f>Metric!K9</f>
        <v>7.662015152</v>
      </c>
      <c r="B3" s="76" t="s">
        <v>28</v>
      </c>
      <c r="C3" s="79"/>
      <c r="D3" s="79"/>
      <c r="G3" s="80"/>
      <c r="H3" s="80"/>
      <c r="J3" s="81"/>
      <c r="K3" s="81"/>
      <c r="L3" s="76"/>
    </row>
    <row r="4" ht="15.75" customHeight="1">
      <c r="A4" s="76">
        <v>4.0</v>
      </c>
      <c r="B4" s="82"/>
      <c r="C4" s="79">
        <f>(((Metric!$C$22/1000)*Metric!$C$26*Metric!$C$30*0.01)/(K4+Metric!$C$12/Metric!$C$28))*60</f>
        <v>99.79378151</v>
      </c>
      <c r="D4" s="79">
        <f t="shared" ref="D4:D80" si="1">C4*60*A4/1000</f>
        <v>23.95050756</v>
      </c>
      <c r="G4" s="80">
        <f>(Metric!$C$18+Metric!$C$17)+H4^2/(PI()*Metric!$G$8*Metric!$G$6)</f>
        <v>1.180346617</v>
      </c>
      <c r="H4" s="80">
        <f>(Metric!$K$5*9.80665)/(0.5*Metric!$C$19*A4^2*Metric!$G$9)</f>
        <v>5.503732143</v>
      </c>
      <c r="I4">
        <f>H4*0.5*Metric!$C$19*A4^2*Metric!$G$9</f>
        <v>42.32114289</v>
      </c>
      <c r="J4" s="81">
        <f t="shared" ref="J4:J80" si="2">H4/G4</f>
        <v>4.662810111</v>
      </c>
      <c r="K4" s="81">
        <f>((((Metric!$K$5*9.80665*A4)/J4))/Metric!$C$28)*100/Metric!$C$31</f>
        <v>4.088431101</v>
      </c>
    </row>
    <row r="5" ht="15.75" customHeight="1">
      <c r="A5" s="76">
        <f t="shared" ref="A5:A80" si="3">A4+0.5</f>
        <v>4.5</v>
      </c>
      <c r="B5" s="82"/>
      <c r="C5" s="79">
        <f>(((Metric!$C$22/1000)*Metric!$C$26*Metric!$C$30*0.01)/(K5+Metric!$C$12/Metric!$C$28))*60</f>
        <v>109.6952802</v>
      </c>
      <c r="D5" s="79">
        <f t="shared" si="1"/>
        <v>29.61772567</v>
      </c>
      <c r="G5" s="80">
        <f>(Metric!$C$18+Metric!$C$17)+H5^2/(PI()*Metric!$G$8*Metric!$G$6)</f>
        <v>0.7541670089</v>
      </c>
      <c r="H5" s="80">
        <f>(Metric!$K$5*9.80665)/(0.5*Metric!$C$19*A5^2*Metric!$G$9)</f>
        <v>4.348627866</v>
      </c>
      <c r="I5">
        <f>H5*0.5*Metric!$C$19*A5^2*Metric!$G$9</f>
        <v>42.32114289</v>
      </c>
      <c r="J5" s="81">
        <f t="shared" si="2"/>
        <v>5.766133781</v>
      </c>
      <c r="K5" s="81">
        <f>((((Metric!$K$5*9.80665*A5)/J5))/Metric!$C$28)*100/Metric!$C$31</f>
        <v>3.719394299</v>
      </c>
    </row>
    <row r="6" ht="15.75" customHeight="1">
      <c r="A6" s="76">
        <f t="shared" si="3"/>
        <v>5</v>
      </c>
      <c r="B6" s="82"/>
      <c r="C6" s="79">
        <f>(((Metric!$C$22/1000)*Metric!$C$26*Metric!$C$30*0.01)/(K6+Metric!$C$12/Metric!$C$28))*60</f>
        <v>118.1076577</v>
      </c>
      <c r="D6" s="79">
        <f t="shared" si="1"/>
        <v>35.4322973</v>
      </c>
      <c r="G6" s="80">
        <f>(Metric!$C$18+Metric!$C$17)+H6^2/(PI()*Metric!$G$8*Metric!$G$6)</f>
        <v>0.5106283745</v>
      </c>
      <c r="H6" s="80">
        <f>(Metric!$K$5*9.80665)/(0.5*Metric!$C$19*A6^2*Metric!$G$9)</f>
        <v>3.522388571</v>
      </c>
      <c r="I6">
        <f>H6*0.5*Metric!$C$19*A6^2*Metric!$G$9</f>
        <v>42.32114289</v>
      </c>
      <c r="J6" s="81">
        <f t="shared" si="2"/>
        <v>6.898145006</v>
      </c>
      <c r="K6" s="81">
        <f>((((Metric!$K$5*9.80665*A6)/J6))/Metric!$C$28)*100/Metric!$C$31</f>
        <v>3.454475417</v>
      </c>
    </row>
    <row r="7" ht="15.75" customHeight="1">
      <c r="A7" s="76">
        <f t="shared" si="3"/>
        <v>5.5</v>
      </c>
      <c r="B7" s="82"/>
      <c r="C7" s="79">
        <f>(((Metric!$C$22/1000)*Metric!$C$26*Metric!$C$30*0.01)/(K7+Metric!$C$12/Metric!$C$28))*60</f>
        <v>124.7047082</v>
      </c>
      <c r="D7" s="79">
        <f t="shared" si="1"/>
        <v>41.15255371</v>
      </c>
      <c r="G7" s="80">
        <f>(Metric!$C$18+Metric!$C$17)+H7^2/(PI()*Metric!$G$8*Metric!$G$6)</f>
        <v>0.3633474315</v>
      </c>
      <c r="H7" s="80">
        <f>(Metric!$K$5*9.80665)/(0.5*Metric!$C$19*A7^2*Metric!$G$9)</f>
        <v>2.911064935</v>
      </c>
      <c r="I7">
        <f>H7*0.5*Metric!$C$19*A7^2*Metric!$G$9</f>
        <v>42.32114289</v>
      </c>
      <c r="J7" s="81">
        <f t="shared" si="2"/>
        <v>8.011794449</v>
      </c>
      <c r="K7" s="81">
        <f>((((Metric!$K$5*9.80665*A7)/J7))/Metric!$C$28)*100/Metric!$C$31</f>
        <v>3.271728918</v>
      </c>
    </row>
    <row r="8" ht="15.75" customHeight="1">
      <c r="A8" s="76">
        <f t="shared" si="3"/>
        <v>6</v>
      </c>
      <c r="B8" s="82"/>
      <c r="C8" s="79">
        <f>(((Metric!$C$22/1000)*Metric!$C$26*Metric!$C$30*0.01)/(K8+Metric!$C$12/Metric!$C$28))*60</f>
        <v>129.2306064</v>
      </c>
      <c r="D8" s="79">
        <f t="shared" si="1"/>
        <v>46.52301829</v>
      </c>
      <c r="G8" s="80">
        <f>(Metric!$C$18+Metric!$C$17)+H8^2/(PI()*Metric!$G$8*Metric!$G$6)</f>
        <v>0.2700684676</v>
      </c>
      <c r="H8" s="80">
        <f>(Metric!$K$5*9.80665)/(0.5*Metric!$C$19*A8^2*Metric!$G$9)</f>
        <v>2.446103175</v>
      </c>
      <c r="I8">
        <f>H8*0.5*Metric!$C$19*A8^2*Metric!$G$9</f>
        <v>42.32114289</v>
      </c>
      <c r="J8" s="81">
        <f t="shared" si="2"/>
        <v>9.057344591</v>
      </c>
      <c r="K8" s="81">
        <f>((((Metric!$K$5*9.80665*A8)/J8))/Metric!$C$28)*100/Metric!$C$31</f>
        <v>3.157146836</v>
      </c>
    </row>
    <row r="9" ht="15.75" customHeight="1">
      <c r="A9" s="76">
        <f t="shared" si="3"/>
        <v>6.5</v>
      </c>
      <c r="B9" s="82"/>
      <c r="C9" s="79">
        <f>(((Metric!$C$22/1000)*Metric!$C$26*Metric!$C$30*0.01)/(K9+Metric!$C$12/Metric!$C$28))*60</f>
        <v>131.5447602</v>
      </c>
      <c r="D9" s="79">
        <f t="shared" si="1"/>
        <v>51.30245648</v>
      </c>
      <c r="G9" s="80">
        <f>(Metric!$C$18+Metric!$C$17)+H9^2/(PI()*Metric!$G$8*Metric!$G$6)</f>
        <v>0.208679309</v>
      </c>
      <c r="H9" s="80">
        <f>(Metric!$K$5*9.80665)/(0.5*Metric!$C$19*A9^2*Metric!$G$9)</f>
        <v>2.084253593</v>
      </c>
      <c r="I9">
        <f>H9*0.5*Metric!$C$19*A9^2*Metric!$G$9</f>
        <v>42.32114289</v>
      </c>
      <c r="J9" s="81">
        <f t="shared" si="2"/>
        <v>9.98783062</v>
      </c>
      <c r="K9" s="81">
        <f>((((Metric!$K$5*9.80665*A9)/J9))/Metric!$C$28)*100/Metric!$C$31</f>
        <v>3.101605867</v>
      </c>
    </row>
    <row r="10" ht="15.75" customHeight="1">
      <c r="A10" s="76">
        <f t="shared" si="3"/>
        <v>7</v>
      </c>
      <c r="B10" s="82"/>
      <c r="C10" s="79">
        <f>(((Metric!$C$22/1000)*Metric!$C$26*Metric!$C$30*0.01)/(K10+Metric!$C$12/Metric!$C$28))*60</f>
        <v>131.6501541</v>
      </c>
      <c r="D10" s="79">
        <f t="shared" si="1"/>
        <v>55.29306471</v>
      </c>
      <c r="G10" s="80">
        <f>(Metric!$C$18+Metric!$C$17)+H10^2/(PI()*Metric!$G$8*Metric!$G$6)</f>
        <v>0.1669465781</v>
      </c>
      <c r="H10" s="80">
        <f>(Metric!$K$5*9.80665)/(0.5*Metric!$C$19*A10^2*Metric!$G$9)</f>
        <v>1.797137026</v>
      </c>
      <c r="I10">
        <f>H10*0.5*Metric!$C$19*A10^2*Metric!$G$9</f>
        <v>42.32114289</v>
      </c>
      <c r="J10" s="81">
        <f t="shared" si="2"/>
        <v>10.76474311</v>
      </c>
      <c r="K10" s="81">
        <f>((((Metric!$K$5*9.80665*A10)/J10))/Metric!$C$28)*100/Metric!$C$31</f>
        <v>3.099122845</v>
      </c>
    </row>
    <row r="11" ht="15.75" customHeight="1">
      <c r="A11" s="76">
        <f t="shared" si="3"/>
        <v>7.5</v>
      </c>
      <c r="B11" s="82"/>
      <c r="C11" s="79">
        <f>(((Metric!$C$22/1000)*Metric!$C$26*Metric!$C$30*0.01)/(K11+Metric!$C$12/Metric!$C$28))*60</f>
        <v>129.6964075</v>
      </c>
      <c r="D11" s="79">
        <f t="shared" si="1"/>
        <v>58.36338336</v>
      </c>
      <c r="G11" s="80">
        <f>(Metric!$C$18+Metric!$C$17)+H11^2/(PI()*Metric!$G$8*Metric!$G$6)</f>
        <v>0.1377784443</v>
      </c>
      <c r="H11" s="80">
        <f>(Metric!$K$5*9.80665)/(0.5*Metric!$C$19*A11^2*Metric!$G$9)</f>
        <v>1.565506032</v>
      </c>
      <c r="I11">
        <f>H11*0.5*Metric!$C$19*A11^2*Metric!$G$9</f>
        <v>42.32114289</v>
      </c>
      <c r="J11" s="81">
        <f t="shared" si="2"/>
        <v>11.36248881</v>
      </c>
      <c r="K11" s="81">
        <f>((((Metric!$K$5*9.80665*A11)/J11))/Metric!$C$28)*100/Metric!$C$31</f>
        <v>3.145808029</v>
      </c>
    </row>
    <row r="12" ht="15.75" customHeight="1">
      <c r="A12" s="76">
        <f t="shared" si="3"/>
        <v>8</v>
      </c>
      <c r="B12" s="82"/>
      <c r="C12" s="79">
        <f>(((Metric!$C$22/1000)*Metric!$C$26*Metric!$C$30*0.01)/(K12+Metric!$C$12/Metric!$C$28))*60</f>
        <v>125.9566022</v>
      </c>
      <c r="D12" s="79">
        <f t="shared" si="1"/>
        <v>60.45916906</v>
      </c>
      <c r="G12" s="80">
        <f>(Metric!$C$18+Metric!$C$17)+H12^2/(PI()*Metric!$G$8*Metric!$G$6)</f>
        <v>0.1168966636</v>
      </c>
      <c r="H12" s="80">
        <f>(Metric!$K$5*9.80665)/(0.5*Metric!$C$19*A12^2*Metric!$G$9)</f>
        <v>1.375933036</v>
      </c>
      <c r="I12">
        <f>H12*0.5*Metric!$C$19*A12^2*Metric!$G$9</f>
        <v>42.32114289</v>
      </c>
      <c r="J12" s="81">
        <f t="shared" si="2"/>
        <v>11.77050733</v>
      </c>
      <c r="K12" s="81">
        <f>((((Metric!$K$5*9.80665*A12)/J12))/Metric!$C$28)*100/Metric!$C$31</f>
        <v>3.23921091</v>
      </c>
    </row>
    <row r="13" ht="15.75" customHeight="1">
      <c r="A13" s="76">
        <f t="shared" si="3"/>
        <v>8.5</v>
      </c>
      <c r="B13" s="82"/>
      <c r="C13" s="79">
        <f>(((Metric!$C$22/1000)*Metric!$C$26*Metric!$C$30*0.01)/(K13+Metric!$C$12/Metric!$C$28))*60</f>
        <v>120.7852139</v>
      </c>
      <c r="D13" s="79">
        <f t="shared" si="1"/>
        <v>61.6004591</v>
      </c>
      <c r="G13" s="80">
        <f>(Metric!$C$18+Metric!$C$17)+H13^2/(PI()*Metric!$G$8*Metric!$G$6)</f>
        <v>0.1016301259</v>
      </c>
      <c r="H13" s="80">
        <f>(Metric!$K$5*9.80665)/(0.5*Metric!$C$19*A13^2*Metric!$G$9)</f>
        <v>1.218819575</v>
      </c>
      <c r="I13">
        <f>H13*0.5*Metric!$C$19*A13^2*Metric!$G$9</f>
        <v>42.32114289</v>
      </c>
      <c r="J13" s="81">
        <f t="shared" si="2"/>
        <v>11.99269965</v>
      </c>
      <c r="K13" s="81">
        <f>((((Metric!$K$5*9.80665*A13)/J13))/Metric!$C$28)*100/Metric!$C$31</f>
        <v>3.377896903</v>
      </c>
    </row>
    <row r="14" ht="15.75" customHeight="1">
      <c r="A14" s="76">
        <f t="shared" si="3"/>
        <v>9</v>
      </c>
      <c r="C14" s="79">
        <f>(((Metric!$C$22/1000)*Metric!$C$26*Metric!$C$30*0.01)/(K14+Metric!$C$12/Metric!$C$28))*60</f>
        <v>114.5692442</v>
      </c>
      <c r="D14" s="79">
        <f t="shared" si="1"/>
        <v>61.86739189</v>
      </c>
      <c r="G14" s="80">
        <f>(Metric!$C$18+Metric!$C$17)+H14^2/(PI()*Metric!$G$8*Metric!$G$6)</f>
        <v>0.09026043805</v>
      </c>
      <c r="H14" s="80">
        <f>(Metric!$K$5*9.80665)/(0.5*Metric!$C$19*A14^2*Metric!$G$9)</f>
        <v>1.087156966</v>
      </c>
      <c r="I14">
        <f>H14*0.5*Metric!$C$19*A14^2*Metric!$G$9</f>
        <v>42.32114289</v>
      </c>
      <c r="J14" s="81">
        <f t="shared" si="2"/>
        <v>12.04466752</v>
      </c>
      <c r="K14" s="81">
        <f>((((Metric!$K$5*9.80665*A14)/J14))/Metric!$C$28)*100/Metric!$C$31</f>
        <v>3.561165151</v>
      </c>
    </row>
    <row r="15" ht="15.75" customHeight="1">
      <c r="A15" s="76">
        <f t="shared" si="3"/>
        <v>9.5</v>
      </c>
      <c r="C15" s="79">
        <f>(((Metric!$C$22/1000)*Metric!$C$26*Metric!$C$30*0.01)/(K15+Metric!$C$12/Metric!$C$28))*60</f>
        <v>107.6842352</v>
      </c>
      <c r="D15" s="79">
        <f t="shared" si="1"/>
        <v>61.38001408</v>
      </c>
      <c r="G15" s="80">
        <f>(Metric!$C$18+Metric!$C$17)+H15^2/(PI()*Metric!$G$8*Metric!$G$6)</f>
        <v>0.08165260967</v>
      </c>
      <c r="H15" s="80">
        <f>(Metric!$K$5*9.80665)/(0.5*Metric!$C$19*A15^2*Metric!$G$9)</f>
        <v>0.9757309062</v>
      </c>
      <c r="I15">
        <f>H15*0.5*Metric!$C$19*A15^2*Metric!$G$9</f>
        <v>42.32114289</v>
      </c>
      <c r="J15" s="81">
        <f t="shared" si="2"/>
        <v>11.94978226</v>
      </c>
      <c r="K15" s="81">
        <f>((((Metric!$K$5*9.80665*A15)/J15))/Metric!$C$28)*100/Metric!$C$31</f>
        <v>3.788855436</v>
      </c>
    </row>
    <row r="16" ht="15.75" customHeight="1">
      <c r="A16" s="76">
        <f t="shared" si="3"/>
        <v>10</v>
      </c>
      <c r="C16" s="79">
        <f>(((Metric!$C$22/1000)*Metric!$C$26*Metric!$C$30*0.01)/(K16+Metric!$C$12/Metric!$C$28))*60</f>
        <v>100.4625953</v>
      </c>
      <c r="D16" s="79">
        <f t="shared" si="1"/>
        <v>60.27755718</v>
      </c>
      <c r="G16" s="80">
        <f>(Metric!$C$18+Metric!$C$17)+H16^2/(PI()*Metric!$G$8*Metric!$G$6)</f>
        <v>0.07503927341</v>
      </c>
      <c r="H16" s="80">
        <f>(Metric!$K$5*9.80665)/(0.5*Metric!$C$19*A16^2*Metric!$G$9)</f>
        <v>0.8805971429</v>
      </c>
      <c r="I16">
        <f>H16*0.5*Metric!$C$19*A16^2*Metric!$G$9</f>
        <v>42.32114289</v>
      </c>
      <c r="J16" s="81">
        <f t="shared" si="2"/>
        <v>11.73515018</v>
      </c>
      <c r="K16" s="81">
        <f>((((Metric!$K$5*9.80665*A16)/J16))/Metric!$C$28)*100/Metric!$C$31</f>
        <v>4.061213019</v>
      </c>
    </row>
    <row r="17" ht="15.75" customHeight="1">
      <c r="A17" s="76">
        <f t="shared" si="3"/>
        <v>10.5</v>
      </c>
      <c r="C17" s="79">
        <f>(((Metric!$C$22/1000)*Metric!$C$26*Metric!$C$30*0.01)/(K17+Metric!$C$12/Metric!$C$28))*60</f>
        <v>93.17638079</v>
      </c>
      <c r="D17" s="79">
        <f t="shared" si="1"/>
        <v>58.7011199</v>
      </c>
      <c r="G17" s="80">
        <f>(Metric!$C$18+Metric!$C$17)+H17^2/(PI()*Metric!$G$8*Metric!$G$6)</f>
        <v>0.0698906821</v>
      </c>
      <c r="H17" s="80">
        <f>(Metric!$K$5*9.80665)/(0.5*Metric!$C$19*A17^2*Metric!$G$9)</f>
        <v>0.7987275672</v>
      </c>
      <c r="I17">
        <f>H17*0.5*Metric!$C$19*A17^2*Metric!$G$9</f>
        <v>42.32114289</v>
      </c>
      <c r="J17" s="81">
        <f t="shared" si="2"/>
        <v>11.42824112</v>
      </c>
      <c r="K17" s="81">
        <f>((((Metric!$K$5*9.80665*A17)/J17))/Metric!$C$28)*100/Metric!$C$31</f>
        <v>4.378792099</v>
      </c>
    </row>
    <row r="18" ht="15.75" customHeight="1">
      <c r="A18" s="76">
        <f t="shared" si="3"/>
        <v>11</v>
      </c>
      <c r="C18" s="79">
        <f>(((Metric!$C$22/1000)*Metric!$C$26*Metric!$C$30*0.01)/(K18+Metric!$C$12/Metric!$C$28))*60</f>
        <v>86.03264995</v>
      </c>
      <c r="D18" s="79">
        <f t="shared" si="1"/>
        <v>56.78154897</v>
      </c>
      <c r="G18" s="80">
        <f>(Metric!$C$18+Metric!$C$17)+H18^2/(PI()*Metric!$G$8*Metric!$G$6)</f>
        <v>0.06583421447</v>
      </c>
      <c r="H18" s="80">
        <f>(Metric!$K$5*9.80665)/(0.5*Metric!$C$19*A18^2*Metric!$G$9)</f>
        <v>0.7277662338</v>
      </c>
      <c r="I18">
        <f>H18*0.5*Metric!$C$19*A18^2*Metric!$G$9</f>
        <v>42.32114289</v>
      </c>
      <c r="J18" s="81">
        <f t="shared" si="2"/>
        <v>11.05452901</v>
      </c>
      <c r="K18" s="81">
        <f>((((Metric!$K$5*9.80665*A18)/J18))/Metric!$C$28)*100/Metric!$C$31</f>
        <v>4.742385597</v>
      </c>
    </row>
    <row r="19" ht="15.75" customHeight="1">
      <c r="A19" s="76">
        <f t="shared" si="3"/>
        <v>11.5</v>
      </c>
      <c r="C19" s="79">
        <f>(((Metric!$C$22/1000)*Metric!$C$26*Metric!$C$30*0.01)/(K19+Metric!$C$12/Metric!$C$28))*60</f>
        <v>79.17758915</v>
      </c>
      <c r="D19" s="79">
        <f t="shared" si="1"/>
        <v>54.63253651</v>
      </c>
      <c r="G19" s="80">
        <f>(Metric!$C$18+Metric!$C$17)+H19^2/(PI()*Metric!$G$8*Metric!$G$6)</f>
        <v>0.06260329882</v>
      </c>
      <c r="H19" s="80">
        <f>(Metric!$K$5*9.80665)/(0.5*Metric!$C$19*A19^2*Metric!$G$9)</f>
        <v>0.665857953</v>
      </c>
      <c r="I19">
        <f>H19*0.5*Metric!$C$19*A19^2*Metric!$G$9</f>
        <v>42.32114289</v>
      </c>
      <c r="J19" s="81">
        <f t="shared" si="2"/>
        <v>10.63614802</v>
      </c>
      <c r="K19" s="81">
        <f>((((Metric!$K$5*9.80665*A19)/J19))/Metric!$C$28)*100/Metric!$C$31</f>
        <v>5.152973264</v>
      </c>
    </row>
    <row r="20" ht="15.75" customHeight="1">
      <c r="A20" s="76">
        <f t="shared" si="3"/>
        <v>12</v>
      </c>
      <c r="C20" s="79">
        <f>(((Metric!$C$22/1000)*Metric!$C$26*Metric!$C$30*0.01)/(K20+Metric!$C$12/Metric!$C$28))*60</f>
        <v>72.70546427</v>
      </c>
      <c r="D20" s="79">
        <f t="shared" si="1"/>
        <v>52.34793427</v>
      </c>
      <c r="G20" s="80">
        <f>(Metric!$C$18+Metric!$C$17)+H20^2/(PI()*Metric!$G$8*Metric!$G$6)</f>
        <v>0.06000427923</v>
      </c>
      <c r="H20" s="80">
        <f>(Metric!$K$5*9.80665)/(0.5*Metric!$C$19*A20^2*Metric!$G$9)</f>
        <v>0.6115257937</v>
      </c>
      <c r="I20">
        <f>H20*0.5*Metric!$C$19*A20^2*Metric!$G$9</f>
        <v>42.32114289</v>
      </c>
      <c r="J20" s="81">
        <f t="shared" si="2"/>
        <v>10.19136971</v>
      </c>
      <c r="K20" s="81">
        <f>((((Metric!$K$5*9.80665*A20)/J20))/Metric!$C$28)*100/Metric!$C$31</f>
        <v>5.611682755</v>
      </c>
    </row>
    <row r="21" ht="15.75" customHeight="1">
      <c r="A21" s="76">
        <f t="shared" si="3"/>
        <v>12.5</v>
      </c>
      <c r="C21" s="79">
        <f>(((Metric!$C$22/1000)*Metric!$C$26*Metric!$C$30*0.01)/(K21+Metric!$C$12/Metric!$C$28))*60</f>
        <v>66.66928063</v>
      </c>
      <c r="D21" s="79">
        <f t="shared" si="1"/>
        <v>50.00196047</v>
      </c>
      <c r="G21" s="80">
        <f>(Metric!$C$18+Metric!$C$17)+H21^2/(PI()*Metric!$G$8*Metric!$G$6)</f>
        <v>0.05789448639</v>
      </c>
      <c r="H21" s="80">
        <f>(Metric!$K$5*9.80665)/(0.5*Metric!$C$19*A21^2*Metric!$G$9)</f>
        <v>0.5635821714</v>
      </c>
      <c r="I21">
        <f>H21*0.5*Metric!$C$19*A21^2*Metric!$G$9</f>
        <v>42.32114289</v>
      </c>
      <c r="J21" s="81">
        <f t="shared" si="2"/>
        <v>9.734643255</v>
      </c>
      <c r="K21" s="81">
        <f>((((Metric!$K$5*9.80665*A21)/J21))/Metric!$C$28)*100/Metric!$C$31</f>
        <v>6.119760047</v>
      </c>
    </row>
    <row r="22" ht="15.75" customHeight="1">
      <c r="A22" s="76">
        <f t="shared" si="3"/>
        <v>13</v>
      </c>
      <c r="C22" s="79">
        <f>(((Metric!$C$22/1000)*Metric!$C$26*Metric!$C$30*0.01)/(K22+Metric!$C$12/Metric!$C$28))*60</f>
        <v>61.09113538</v>
      </c>
      <c r="D22" s="79">
        <f t="shared" si="1"/>
        <v>47.65108559</v>
      </c>
      <c r="G22" s="80">
        <f>(Metric!$C$18+Metric!$C$17)+H22^2/(PI()*Metric!$G$8*Metric!$G$6)</f>
        <v>0.05616745681</v>
      </c>
      <c r="H22" s="80">
        <f>(Metric!$K$5*9.80665)/(0.5*Metric!$C$19*A22^2*Metric!$G$9)</f>
        <v>0.5210633981</v>
      </c>
      <c r="I22">
        <f>H22*0.5*Metric!$C$19*A22^2*Metric!$G$9</f>
        <v>42.32114289</v>
      </c>
      <c r="J22" s="81">
        <f t="shared" si="2"/>
        <v>9.276962635</v>
      </c>
      <c r="K22" s="81">
        <f>((((Metric!$K$5*9.80665*A22)/J22))/Metric!$C$28)*100/Metric!$C$31</f>
        <v>6.678546691</v>
      </c>
    </row>
    <row r="23" ht="15.75" customHeight="1">
      <c r="A23" s="76">
        <f t="shared" si="3"/>
        <v>13.5</v>
      </c>
      <c r="C23" s="79">
        <f>(((Metric!$C$22/1000)*Metric!$C$26*Metric!$C$30*0.01)/(K23+Metric!$C$12/Metric!$C$28))*60</f>
        <v>55.97120805</v>
      </c>
      <c r="D23" s="79">
        <f t="shared" si="1"/>
        <v>45.33667852</v>
      </c>
      <c r="G23" s="80">
        <f>(Metric!$C$18+Metric!$C$17)+H23^2/(PI()*Metric!$G$8*Metric!$G$6)</f>
        <v>0.05474280258</v>
      </c>
      <c r="H23" s="80">
        <f>(Metric!$K$5*9.80665)/(0.5*Metric!$C$19*A23^2*Metric!$G$9)</f>
        <v>0.483180874</v>
      </c>
      <c r="I23">
        <f>H23*0.5*Metric!$C$19*A23^2*Metric!$G$9</f>
        <v>42.32114289</v>
      </c>
      <c r="J23" s="81">
        <f t="shared" si="2"/>
        <v>8.826381757</v>
      </c>
      <c r="K23" s="81">
        <f>((((Metric!$K$5*9.80665*A23)/J23))/Metric!$C$28)*100/Metric!$C$31</f>
        <v>7.289462105</v>
      </c>
    </row>
    <row r="24" ht="15.75" customHeight="1">
      <c r="A24" s="76">
        <f t="shared" si="3"/>
        <v>14</v>
      </c>
      <c r="C24" s="79">
        <f>(((Metric!$C$22/1000)*Metric!$C$26*Metric!$C$30*0.01)/(K24+Metric!$C$12/Metric!$C$28))*60</f>
        <v>51.29501253</v>
      </c>
      <c r="D24" s="79">
        <f t="shared" si="1"/>
        <v>43.08781052</v>
      </c>
      <c r="G24" s="80">
        <f>(Metric!$C$18+Metric!$C$17)+H24^2/(PI()*Metric!$G$8*Metric!$G$6)</f>
        <v>0.05355916113</v>
      </c>
      <c r="H24" s="80">
        <f>(Metric!$K$5*9.80665)/(0.5*Metric!$C$19*A24^2*Metric!$G$9)</f>
        <v>0.4492842566</v>
      </c>
      <c r="I24">
        <f>H24*0.5*Metric!$C$19*A24^2*Metric!$G$9</f>
        <v>42.32114289</v>
      </c>
      <c r="J24" s="81">
        <f t="shared" si="2"/>
        <v>8.388560371</v>
      </c>
      <c r="K24" s="81">
        <f>((((Metric!$K$5*9.80665*A24)/J24))/Metric!$C$28)*100/Metric!$C$31</f>
        <v>7.953989675</v>
      </c>
    </row>
    <row r="25" ht="15.75" customHeight="1">
      <c r="A25" s="76">
        <f t="shared" si="3"/>
        <v>14.5</v>
      </c>
      <c r="C25" s="79">
        <f>(((Metric!$C$22/1000)*Metric!$C$26*Metric!$C$30*0.01)/(K25+Metric!$C$12/Metric!$C$28))*60</f>
        <v>47.03893521</v>
      </c>
      <c r="D25" s="79">
        <f t="shared" si="1"/>
        <v>40.92387363</v>
      </c>
      <c r="G25" s="80">
        <f>(Metric!$C$18+Metric!$C$17)+H25^2/(PI()*Metric!$G$8*Metric!$G$6)</f>
        <v>0.05256921895</v>
      </c>
      <c r="H25" s="80">
        <f>(Metric!$K$5*9.80665)/(0.5*Metric!$C$19*A25^2*Metric!$G$9)</f>
        <v>0.4188333616</v>
      </c>
      <c r="I25">
        <f>H25*0.5*Metric!$C$19*A25^2*Metric!$G$9</f>
        <v>42.32114289</v>
      </c>
      <c r="J25" s="81">
        <f t="shared" si="2"/>
        <v>7.967273816</v>
      </c>
      <c r="K25" s="81">
        <f>((((Metric!$K$5*9.80665*A25)/J25))/Metric!$C$28)*100/Metric!$C$31</f>
        <v>8.673665723</v>
      </c>
    </row>
    <row r="26" ht="15.75" customHeight="1">
      <c r="A26" s="76">
        <f t="shared" si="3"/>
        <v>15</v>
      </c>
      <c r="C26" s="79">
        <f>(((Metric!$C$22/1000)*Metric!$C$26*Metric!$C$30*0.01)/(K26+Metric!$C$12/Metric!$C$28))*60</f>
        <v>43.17428022</v>
      </c>
      <c r="D26" s="79">
        <f t="shared" si="1"/>
        <v>38.8568522</v>
      </c>
      <c r="G26" s="80">
        <f>(Metric!$C$18+Metric!$C$17)+H26^2/(PI()*Metric!$G$8*Metric!$G$6)</f>
        <v>0.05173615277</v>
      </c>
      <c r="H26" s="80">
        <f>(Metric!$K$5*9.80665)/(0.5*Metric!$C$19*A26^2*Metric!$G$9)</f>
        <v>0.3913765079</v>
      </c>
      <c r="I26">
        <f>H26*0.5*Metric!$C$19*A26^2*Metric!$G$9</f>
        <v>42.32114289</v>
      </c>
      <c r="J26" s="81">
        <f t="shared" si="2"/>
        <v>7.56485527</v>
      </c>
      <c r="K26" s="81">
        <f>((((Metric!$K$5*9.80665*A26)/J26))/Metric!$C$28)*100/Metric!$C$31</f>
        <v>9.450070688</v>
      </c>
    </row>
    <row r="27" ht="15.75" customHeight="1">
      <c r="A27" s="76">
        <f t="shared" si="3"/>
        <v>15.5</v>
      </c>
      <c r="C27" s="79">
        <f>(((Metric!$C$22/1000)*Metric!$C$26*Metric!$C$30*0.01)/(K27+Metric!$C$12/Metric!$C$28))*60</f>
        <v>39.67010803</v>
      </c>
      <c r="D27" s="79">
        <f t="shared" si="1"/>
        <v>36.89320047</v>
      </c>
      <c r="G27" s="80">
        <f>(Metric!$C$18+Metric!$C$17)+H27^2/(PI()*Metric!$G$8*Metric!$G$6)</f>
        <v>0.0510310537</v>
      </c>
      <c r="H27" s="80">
        <f>(Metric!$K$5*9.80665)/(0.5*Metric!$C$19*A27^2*Metric!$G$9)</f>
        <v>0.3665336703</v>
      </c>
      <c r="I27">
        <f>H27*0.5*Metric!$C$19*A27^2*Metric!$G$9</f>
        <v>42.32114289</v>
      </c>
      <c r="J27" s="81">
        <f t="shared" si="2"/>
        <v>7.182561278</v>
      </c>
      <c r="K27" s="81">
        <f>((((Metric!$K$5*9.80665*A27)/J27))/Metric!$C$28)*100/Metric!$C$31</f>
        <v>10.284822</v>
      </c>
    </row>
    <row r="28" ht="15.75" customHeight="1">
      <c r="A28" s="76">
        <f t="shared" si="3"/>
        <v>16</v>
      </c>
      <c r="C28" s="79">
        <f>(((Metric!$C$22/1000)*Metric!$C$26*Metric!$C$30*0.01)/(K28+Metric!$C$12/Metric!$C$28))*60</f>
        <v>36.49514794</v>
      </c>
      <c r="D28" s="79">
        <f t="shared" si="1"/>
        <v>35.03534202</v>
      </c>
      <c r="G28" s="80">
        <f>(Metric!$C$18+Metric!$C$17)+H28^2/(PI()*Metric!$G$8*Metric!$G$6)</f>
        <v>0.05043104147</v>
      </c>
      <c r="H28" s="80">
        <f>(Metric!$K$5*9.80665)/(0.5*Metric!$C$19*A28^2*Metric!$G$9)</f>
        <v>0.3439832589</v>
      </c>
      <c r="I28">
        <f>H28*0.5*Metric!$C$19*A28^2*Metric!$G$9</f>
        <v>42.32114289</v>
      </c>
      <c r="J28" s="81">
        <f t="shared" si="2"/>
        <v>6.820863676</v>
      </c>
      <c r="K28" s="81">
        <f>((((Metric!$K$5*9.80665*A28)/J28))/Metric!$C$28)*100/Metric!$C$31</f>
        <v>11.17956833</v>
      </c>
    </row>
    <row r="29" ht="15.75" customHeight="1">
      <c r="A29" s="76">
        <f t="shared" si="3"/>
        <v>16.5</v>
      </c>
      <c r="C29" s="79">
        <f>(((Metric!$C$22/1000)*Metric!$C$26*Metric!$C$30*0.01)/(K29+Metric!$C$12/Metric!$C$28))*60</f>
        <v>33.61902695</v>
      </c>
      <c r="D29" s="79">
        <f t="shared" si="1"/>
        <v>33.28283668</v>
      </c>
      <c r="G29" s="80">
        <f>(Metric!$C$18+Metric!$C$17)+H29^2/(PI()*Metric!$G$8*Metric!$G$6)</f>
        <v>0.04991786953</v>
      </c>
      <c r="H29" s="80">
        <f>(Metric!$K$5*9.80665)/(0.5*Metric!$C$19*A29^2*Metric!$G$9)</f>
        <v>0.3234516595</v>
      </c>
      <c r="I29">
        <f>H29*0.5*Metric!$C$19*A29^2*Metric!$G$9</f>
        <v>42.32114289</v>
      </c>
      <c r="J29" s="81">
        <f t="shared" si="2"/>
        <v>6.479676768</v>
      </c>
      <c r="K29" s="81">
        <f>((((Metric!$K$5*9.80665*A29)/J29))/Metric!$C$28)*100/Metric!$C$31</f>
        <v>12.1359848</v>
      </c>
    </row>
    <row r="30" ht="15.75" customHeight="1">
      <c r="A30" s="76">
        <f t="shared" si="3"/>
        <v>17</v>
      </c>
      <c r="C30" s="79">
        <f>(((Metric!$C$22/1000)*Metric!$C$26*Metric!$C$30*0.01)/(K30+Metric!$C$12/Metric!$C$28))*60</f>
        <v>31.01300998</v>
      </c>
      <c r="D30" s="79">
        <f t="shared" si="1"/>
        <v>31.63327018</v>
      </c>
      <c r="G30" s="80">
        <f>(Metric!$C$18+Metric!$C$17)+H30^2/(PI()*Metric!$G$8*Metric!$G$6)</f>
        <v>0.04947688287</v>
      </c>
      <c r="H30" s="80">
        <f>(Metric!$K$5*9.80665)/(0.5*Metric!$C$19*A30^2*Metric!$G$9)</f>
        <v>0.3047048937</v>
      </c>
      <c r="I30">
        <f>H30*0.5*Metric!$C$19*A30^2*Metric!$G$9</f>
        <v>42.32114289</v>
      </c>
      <c r="J30" s="81">
        <f t="shared" si="2"/>
        <v>6.158530531</v>
      </c>
      <c r="K30" s="81">
        <f>((((Metric!$K$5*9.80665*A30)/J30))/Metric!$C$28)*100/Metric!$C$31</f>
        <v>13.15576915</v>
      </c>
    </row>
    <row r="31" ht="15.75" customHeight="1">
      <c r="A31" s="76">
        <f t="shared" si="3"/>
        <v>17.5</v>
      </c>
      <c r="C31" s="79">
        <f>(((Metric!$C$22/1000)*Metric!$C$26*Metric!$C$30*0.01)/(K31+Metric!$C$12/Metric!$C$28))*60</f>
        <v>28.65040077</v>
      </c>
      <c r="D31" s="79">
        <f t="shared" si="1"/>
        <v>30.08292081</v>
      </c>
      <c r="G31" s="80">
        <f>(Metric!$C$18+Metric!$C$17)+H31^2/(PI()*Metric!$G$8*Metric!$G$6)</f>
        <v>0.0490962324</v>
      </c>
      <c r="H31" s="80">
        <f>(Metric!$K$5*9.80665)/(0.5*Metric!$C$19*A31^2*Metric!$G$9)</f>
        <v>0.2875419242</v>
      </c>
      <c r="I31">
        <f>H31*0.5*Metric!$C$19*A31^2*Metric!$G$9</f>
        <v>42.32114289</v>
      </c>
      <c r="J31" s="81">
        <f t="shared" si="2"/>
        <v>5.856700405</v>
      </c>
      <c r="K31" s="81">
        <f>((((Metric!$K$5*9.80665*A31)/J31))/Metric!$C$28)*100/Metric!$C$31</f>
        <v>14.24063849</v>
      </c>
    </row>
    <row r="32" ht="15.75" customHeight="1">
      <c r="A32" s="76">
        <f t="shared" si="3"/>
        <v>18</v>
      </c>
      <c r="C32" s="79">
        <f>(((Metric!$C$22/1000)*Metric!$C$26*Metric!$C$30*0.01)/(K32+Metric!$C$12/Metric!$C$28))*60</f>
        <v>26.50671409</v>
      </c>
      <c r="D32" s="79">
        <f t="shared" si="1"/>
        <v>28.62725122</v>
      </c>
      <c r="G32" s="80">
        <f>(Metric!$C$18+Metric!$C$17)+H32^2/(PI()*Metric!$G$8*Metric!$G$6)</f>
        <v>0.04876627738</v>
      </c>
      <c r="H32" s="80">
        <f>(Metric!$K$5*9.80665)/(0.5*Metric!$C$19*A32^2*Metric!$G$9)</f>
        <v>0.2717892416</v>
      </c>
      <c r="I32">
        <f>H32*0.5*Metric!$C$19*A32^2*Metric!$G$9</f>
        <v>42.32114289</v>
      </c>
      <c r="J32" s="81">
        <f t="shared" si="2"/>
        <v>5.573303033</v>
      </c>
      <c r="K32" s="81">
        <f>((((Metric!$K$5*9.80665*A32)/J32))/Metric!$C$28)*100/Metric!$C$31</f>
        <v>15.39232659</v>
      </c>
    </row>
    <row r="33" ht="15.75" customHeight="1">
      <c r="A33" s="76">
        <f t="shared" si="3"/>
        <v>18.5</v>
      </c>
      <c r="C33" s="79">
        <f>(((Metric!$C$22/1000)*Metric!$C$26*Metric!$C$30*0.01)/(K33+Metric!$C$12/Metric!$C$28))*60</f>
        <v>24.55969872</v>
      </c>
      <c r="D33" s="79">
        <f t="shared" si="1"/>
        <v>27.26126558</v>
      </c>
      <c r="G33" s="80">
        <f>(Metric!$C$18+Metric!$C$17)+H33^2/(PI()*Metric!$G$8*Metric!$G$6)</f>
        <v>0.04847912732</v>
      </c>
      <c r="H33" s="80">
        <f>(Metric!$K$5*9.80665)/(0.5*Metric!$C$19*A33^2*Metric!$G$9)</f>
        <v>0.2572964625</v>
      </c>
      <c r="I33">
        <f>H33*0.5*Metric!$C$19*A33^2*Metric!$G$9</f>
        <v>42.32114289</v>
      </c>
      <c r="J33" s="81">
        <f t="shared" si="2"/>
        <v>5.307365802</v>
      </c>
      <c r="K33" s="81">
        <f>((((Metric!$K$5*9.80665*A33)/J33))/Metric!$C$28)*100/Metric!$C$31</f>
        <v>16.61258164</v>
      </c>
    </row>
    <row r="34" ht="15.75" customHeight="1">
      <c r="A34" s="76">
        <f t="shared" si="3"/>
        <v>19</v>
      </c>
      <c r="B34" s="82"/>
      <c r="C34" s="79">
        <f>(((Metric!$C$22/1000)*Metric!$C$26*Metric!$C$30*0.01)/(K34+Metric!$C$12/Metric!$C$28))*60</f>
        <v>22.78926739</v>
      </c>
      <c r="D34" s="79">
        <f t="shared" si="1"/>
        <v>25.97976482</v>
      </c>
      <c r="G34" s="80">
        <f>(Metric!$C$18+Metric!$C$17)+H34^2/(PI()*Metric!$G$8*Metric!$G$6)</f>
        <v>0.0482282881</v>
      </c>
      <c r="H34" s="80">
        <f>(Metric!$K$5*9.80665)/(0.5*Metric!$C$19*A34^2*Metric!$G$9)</f>
        <v>0.2439327266</v>
      </c>
      <c r="I34">
        <f>H34*0.5*Metric!$C$19*A34^2*Metric!$G$9</f>
        <v>42.32114289</v>
      </c>
      <c r="J34" s="81">
        <f t="shared" si="2"/>
        <v>5.057876531</v>
      </c>
      <c r="K34" s="81">
        <f>((((Metric!$K$5*9.80665*A34)/J34))/Metric!$C$28)*100/Metric!$C$31</f>
        <v>17.90316437</v>
      </c>
    </row>
    <row r="35" ht="15.75" customHeight="1">
      <c r="A35" s="76">
        <f t="shared" si="3"/>
        <v>19.5</v>
      </c>
      <c r="B35" s="82"/>
      <c r="C35" s="79">
        <f>(((Metric!$C$22/1000)*Metric!$C$26*Metric!$C$30*0.01)/(K35+Metric!$C$12/Metric!$C$28))*60</f>
        <v>21.17737217</v>
      </c>
      <c r="D35" s="79">
        <f t="shared" si="1"/>
        <v>24.77752544</v>
      </c>
      <c r="G35" s="80">
        <f>(Metric!$C$18+Metric!$C$17)+H35^2/(PI()*Metric!$G$8*Metric!$G$6)</f>
        <v>0.04800838653</v>
      </c>
      <c r="H35" s="80">
        <f>(Metric!$K$5*9.80665)/(0.5*Metric!$C$19*A35^2*Metric!$G$9)</f>
        <v>0.2315837325</v>
      </c>
      <c r="I35">
        <f>H35*0.5*Metric!$C$19*A35^2*Metric!$G$9</f>
        <v>42.32114289</v>
      </c>
      <c r="J35" s="81">
        <f t="shared" si="2"/>
        <v>4.823818279</v>
      </c>
      <c r="K35" s="81">
        <f>((((Metric!$K$5*9.80665*A35)/J35))/Metric!$C$28)*100/Metric!$C$31</f>
        <v>19.26584643</v>
      </c>
    </row>
    <row r="36" ht="15.75" customHeight="1">
      <c r="A36" s="76">
        <f t="shared" si="3"/>
        <v>20</v>
      </c>
      <c r="B36" s="82"/>
      <c r="C36" s="79">
        <f>(((Metric!$C$22/1000)*Metric!$C$26*Metric!$C$30*0.01)/(K36+Metric!$C$12/Metric!$C$28))*60</f>
        <v>19.7078514</v>
      </c>
      <c r="D36" s="79">
        <f t="shared" si="1"/>
        <v>23.64942168</v>
      </c>
      <c r="G36" s="80">
        <f>(Metric!$C$18+Metric!$C$17)+H36^2/(PI()*Metric!$G$8*Metric!$G$6)</f>
        <v>0.04781495459</v>
      </c>
      <c r="H36" s="80">
        <f>(Metric!$K$5*9.80665)/(0.5*Metric!$C$19*A36^2*Metric!$G$9)</f>
        <v>0.2201492857</v>
      </c>
      <c r="I36">
        <f>H36*0.5*Metric!$C$19*A36^2*Metric!$G$9</f>
        <v>42.32114289</v>
      </c>
      <c r="J36" s="81">
        <f t="shared" si="2"/>
        <v>4.604193136</v>
      </c>
      <c r="K36" s="81">
        <f>((((Metric!$K$5*9.80665*A36)/J36))/Metric!$C$28)*100/Metric!$C$31</f>
        <v>20.70240899</v>
      </c>
    </row>
    <row r="37" ht="15.75" customHeight="1">
      <c r="A37" s="76">
        <f t="shared" si="3"/>
        <v>20.5</v>
      </c>
      <c r="B37" s="82"/>
      <c r="C37" s="79">
        <f>(((Metric!$C$22/1000)*Metric!$C$26*Metric!$C$30*0.01)/(K37+Metric!$C$12/Metric!$C$28))*60</f>
        <v>18.3662652</v>
      </c>
      <c r="D37" s="79">
        <f t="shared" si="1"/>
        <v>22.59050619</v>
      </c>
      <c r="G37" s="80">
        <f>(Metric!$C$18+Metric!$C$17)+H37^2/(PI()*Metric!$G$8*Metric!$G$6)</f>
        <v>0.04764425928</v>
      </c>
      <c r="H37" s="80">
        <f>(Metric!$K$5*9.80665)/(0.5*Metric!$C$19*A37^2*Metric!$G$9)</f>
        <v>0.2095412595</v>
      </c>
      <c r="I37">
        <f>H37*0.5*Metric!$C$19*A37^2*Metric!$G$9</f>
        <v>42.32114289</v>
      </c>
      <c r="J37" s="81">
        <f t="shared" si="2"/>
        <v>4.39803793</v>
      </c>
      <c r="K37" s="81">
        <f>((((Metric!$K$5*9.80665*A37)/J37))/Metric!$C$28)*100/Metric!$C$31</f>
        <v>22.21464166</v>
      </c>
    </row>
    <row r="38" ht="15.75" customHeight="1">
      <c r="A38" s="76">
        <f t="shared" si="3"/>
        <v>21</v>
      </c>
      <c r="B38" s="82"/>
      <c r="C38" s="79">
        <f>(((Metric!$C$22/1000)*Metric!$C$26*Metric!$C$30*0.01)/(K38+Metric!$C$12/Metric!$C$28))*60</f>
        <v>17.13973065</v>
      </c>
      <c r="D38" s="79">
        <f t="shared" si="1"/>
        <v>21.59606062</v>
      </c>
      <c r="G38" s="80">
        <f>(Metric!$C$18+Metric!$C$17)+H38^2/(PI()*Metric!$G$8*Metric!$G$6)</f>
        <v>0.04749316763</v>
      </c>
      <c r="H38" s="80">
        <f>(Metric!$K$5*9.80665)/(0.5*Metric!$C$19*A38^2*Metric!$G$9)</f>
        <v>0.1996818918</v>
      </c>
      <c r="I38">
        <f>H38*0.5*Metric!$C$19*A38^2*Metric!$G$9</f>
        <v>42.32114289</v>
      </c>
      <c r="J38" s="81">
        <f t="shared" si="2"/>
        <v>4.204434064</v>
      </c>
      <c r="K38" s="81">
        <f>((((Metric!$K$5*9.80665*A38)/J38))/Metric!$C$28)*100/Metric!$C$31</f>
        <v>23.8043414</v>
      </c>
    </row>
    <row r="39" ht="15.75" customHeight="1">
      <c r="A39" s="76">
        <f t="shared" si="3"/>
        <v>21.5</v>
      </c>
      <c r="B39" s="82"/>
      <c r="C39" s="79">
        <f>(((Metric!$C$22/1000)*Metric!$C$26*Metric!$C$30*0.01)/(K39+Metric!$C$12/Metric!$C$28))*60</f>
        <v>16.01676313</v>
      </c>
      <c r="D39" s="79">
        <f t="shared" si="1"/>
        <v>20.66162444</v>
      </c>
      <c r="G39" s="80">
        <f>(Metric!$C$18+Metric!$C$17)+H39^2/(PI()*Metric!$G$8*Metric!$G$6)</f>
        <v>0.04735903896</v>
      </c>
      <c r="H39" s="80">
        <f>(Metric!$K$5*9.80665)/(0.5*Metric!$C$19*A39^2*Metric!$G$9)</f>
        <v>0.1905023565</v>
      </c>
      <c r="I39">
        <f>H39*0.5*Metric!$C$19*A39^2*Metric!$G$9</f>
        <v>42.32114289</v>
      </c>
      <c r="J39" s="81">
        <f t="shared" si="2"/>
        <v>4.02251314</v>
      </c>
      <c r="K39" s="81">
        <f>((((Metric!$K$5*9.80665*A39)/J39))/Metric!$C$28)*100/Metric!$C$31</f>
        <v>25.47331172</v>
      </c>
    </row>
    <row r="40" ht="15.75" customHeight="1">
      <c r="A40" s="76">
        <f t="shared" si="3"/>
        <v>22</v>
      </c>
      <c r="B40" s="82"/>
      <c r="C40" s="79">
        <f>(((Metric!$C$22/1000)*Metric!$C$26*Metric!$C$30*0.01)/(K40+Metric!$C$12/Metric!$C$28))*60</f>
        <v>14.98712765</v>
      </c>
      <c r="D40" s="79">
        <f t="shared" si="1"/>
        <v>19.7830085</v>
      </c>
      <c r="G40" s="80">
        <f>(Metric!$C$18+Metric!$C$17)+H40^2/(PI()*Metric!$G$8*Metric!$G$6)</f>
        <v>0.0472396384</v>
      </c>
      <c r="H40" s="80">
        <f>(Metric!$K$5*9.80665)/(0.5*Metric!$C$19*A40^2*Metric!$G$9)</f>
        <v>0.1819415584</v>
      </c>
      <c r="I40">
        <f>H40*0.5*Metric!$C$19*A40^2*Metric!$G$9</f>
        <v>42.32114289</v>
      </c>
      <c r="J40" s="81">
        <f t="shared" si="2"/>
        <v>3.851459592</v>
      </c>
      <c r="K40" s="81">
        <f>((((Metric!$K$5*9.80665*A40)/J40))/Metric!$C$28)*100/Metric!$C$31</f>
        <v>27.22336191</v>
      </c>
    </row>
    <row r="41" ht="15.75" customHeight="1">
      <c r="A41" s="76">
        <f t="shared" si="3"/>
        <v>22.5</v>
      </c>
      <c r="B41" s="82"/>
      <c r="C41" s="79">
        <f>(((Metric!$C$22/1000)*Metric!$C$26*Metric!$C$30*0.01)/(K41+Metric!$C$12/Metric!$C$28))*60</f>
        <v>14.04170215</v>
      </c>
      <c r="D41" s="79">
        <f t="shared" si="1"/>
        <v>18.9562979</v>
      </c>
      <c r="G41" s="80">
        <f>(Metric!$C$18+Metric!$C$17)+H41^2/(PI()*Metric!$G$8*Metric!$G$6)</f>
        <v>0.04713306721</v>
      </c>
      <c r="H41" s="80">
        <f>(Metric!$K$5*9.80665)/(0.5*Metric!$C$19*A41^2*Metric!$G$9)</f>
        <v>0.1739451146</v>
      </c>
      <c r="I41">
        <f>H41*0.5*Metric!$C$19*A41^2*Metric!$G$9</f>
        <v>42.32114289</v>
      </c>
      <c r="J41" s="81">
        <f t="shared" si="2"/>
        <v>3.690511247</v>
      </c>
      <c r="K41" s="81">
        <f>((((Metric!$K$5*9.80665*A41)/J41))/Metric!$C$28)*100/Metric!$C$31</f>
        <v>29.0563064</v>
      </c>
    </row>
    <row r="42" ht="15.75" customHeight="1">
      <c r="A42" s="76">
        <f t="shared" si="3"/>
        <v>23</v>
      </c>
      <c r="B42" s="82"/>
      <c r="C42" s="79">
        <f>(((Metric!$C$22/1000)*Metric!$C$26*Metric!$C$30*0.01)/(K42+Metric!$C$12/Metric!$C$28))*60</f>
        <v>13.1723533</v>
      </c>
      <c r="D42" s="83">
        <f t="shared" si="1"/>
        <v>18.17784755</v>
      </c>
      <c r="G42" s="80">
        <f>(Metric!$C$18+Metric!$C$17)+H42^2/(PI()*Metric!$G$8*Metric!$G$6)</f>
        <v>0.04703770618</v>
      </c>
      <c r="H42" s="80">
        <f>(Metric!$K$5*9.80665)/(0.5*Metric!$C$19*A42^2*Metric!$G$9)</f>
        <v>0.1664644883</v>
      </c>
      <c r="I42">
        <f>H42*0.5*Metric!$C$19*A42^2*Metric!$G$9</f>
        <v>42.32114289</v>
      </c>
      <c r="J42" s="81">
        <f t="shared" si="2"/>
        <v>3.538958461</v>
      </c>
      <c r="K42" s="81">
        <f>((((Metric!$K$5*9.80665*A42)/J42))/Metric!$C$28)*100/Metric!$C$31</f>
        <v>30.97396424</v>
      </c>
    </row>
    <row r="43" ht="15.75" customHeight="1">
      <c r="A43" s="76">
        <f t="shared" si="3"/>
        <v>23.5</v>
      </c>
      <c r="B43" s="82"/>
      <c r="C43" s="79">
        <f>(((Metric!$C$22/1000)*Metric!$C$26*Metric!$C$30*0.01)/(K43+Metric!$C$12/Metric!$C$28))*60</f>
        <v>12.37182481</v>
      </c>
      <c r="D43" s="83">
        <f t="shared" si="1"/>
        <v>17.44427299</v>
      </c>
      <c r="G43" s="80">
        <f>(Metric!$C$18+Metric!$C$17)+H43^2/(PI()*Metric!$G$8*Metric!$G$6)</f>
        <v>0.04695216957</v>
      </c>
      <c r="H43" s="80">
        <f>(Metric!$K$5*9.80665)/(0.5*Metric!$C$19*A43^2*Metric!$G$9)</f>
        <v>0.1594562504</v>
      </c>
      <c r="I43">
        <f>H43*0.5*Metric!$C$19*A43^2*Metric!$G$9</f>
        <v>42.32114289</v>
      </c>
      <c r="J43" s="81">
        <f t="shared" si="2"/>
        <v>3.396142327</v>
      </c>
      <c r="K43" s="81">
        <f>((((Metric!$K$5*9.80665*A43)/J43))/Metric!$C$28)*100/Metric!$C$31</f>
        <v>32.97815853</v>
      </c>
    </row>
    <row r="44" ht="15.75" customHeight="1">
      <c r="A44" s="76">
        <f t="shared" si="3"/>
        <v>24</v>
      </c>
      <c r="B44" s="82"/>
      <c r="C44" s="79">
        <f>(((Metric!$C$22/1000)*Metric!$C$26*Metric!$C$30*0.01)/(K44+Metric!$C$12/Metric!$C$28))*60</f>
        <v>11.63363757</v>
      </c>
      <c r="D44" s="79">
        <f t="shared" si="1"/>
        <v>16.7524381</v>
      </c>
      <c r="G44" s="80">
        <f>(Metric!$C$18+Metric!$C$17)+H44^2/(PI()*Metric!$G$8*Metric!$G$6)</f>
        <v>0.04687526745</v>
      </c>
      <c r="H44" s="80">
        <f>(Metric!$K$5*9.80665)/(0.5*Metric!$C$19*A44^2*Metric!$G$9)</f>
        <v>0.1528814484</v>
      </c>
      <c r="I44">
        <f>H44*0.5*Metric!$C$19*A44^2*Metric!$G$9</f>
        <v>42.32114289</v>
      </c>
      <c r="J44" s="81">
        <f t="shared" si="2"/>
        <v>3.261452291</v>
      </c>
      <c r="K44" s="81">
        <f>((((Metric!$K$5*9.80665*A44)/J44))/Metric!$C$28)*100/Metric!$C$31</f>
        <v>35.07071607</v>
      </c>
    </row>
    <row r="45" ht="15.75" customHeight="1">
      <c r="A45" s="76">
        <f t="shared" si="3"/>
        <v>24.5</v>
      </c>
      <c r="C45" s="79">
        <f>(((Metric!$C$22/1000)*Metric!$C$26*Metric!$C$30*0.01)/(K45+Metric!$C$12/Metric!$C$28))*60</f>
        <v>10.9520008</v>
      </c>
      <c r="D45" s="79">
        <f t="shared" si="1"/>
        <v>16.09944118</v>
      </c>
      <c r="G45" s="80">
        <f>(Metric!$C$18+Metric!$C$17)+H45^2/(PI()*Metric!$G$8*Metric!$G$6)</f>
        <v>0.0468059747</v>
      </c>
      <c r="H45" s="80">
        <f>(Metric!$K$5*9.80665)/(0.5*Metric!$C$19*A45^2*Metric!$G$9)</f>
        <v>0.1467050634</v>
      </c>
      <c r="I45">
        <f>H45*0.5*Metric!$C$19*A45^2*Metric!$G$9</f>
        <v>42.32114289</v>
      </c>
      <c r="J45" s="81">
        <f t="shared" si="2"/>
        <v>3.134323434</v>
      </c>
      <c r="K45" s="81">
        <f>((((Metric!$K$5*9.80665*A45)/J45))/Metric!$C$28)*100/Metric!$C$31</f>
        <v>37.25346696</v>
      </c>
    </row>
    <row r="46" ht="15.75" customHeight="1">
      <c r="A46" s="76">
        <f t="shared" si="3"/>
        <v>25</v>
      </c>
      <c r="C46" s="79">
        <f>(((Metric!$C$22/1000)*Metric!$C$26*Metric!$C$30*0.01)/(K46+Metric!$C$12/Metric!$C$28))*60</f>
        <v>10.32173343</v>
      </c>
      <c r="D46" s="79">
        <f t="shared" si="1"/>
        <v>15.48260014</v>
      </c>
      <c r="G46" s="80">
        <f>(Metric!$C$18+Metric!$C$17)+H46^2/(PI()*Metric!$G$8*Metric!$G$6)</f>
        <v>0.0467434054</v>
      </c>
      <c r="H46" s="80">
        <f>(Metric!$K$5*9.80665)/(0.5*Metric!$C$19*A46^2*Metric!$G$9)</f>
        <v>0.1408955429</v>
      </c>
      <c r="I46">
        <f>H46*0.5*Metric!$C$19*A46^2*Metric!$G$9</f>
        <v>42.32114289</v>
      </c>
      <c r="J46" s="81">
        <f t="shared" si="2"/>
        <v>3.014233594</v>
      </c>
      <c r="K46" s="81">
        <f>((((Metric!$K$5*9.80665*A46)/J46))/Metric!$C$28)*100/Metric!$C$31</f>
        <v>39.52824425</v>
      </c>
    </row>
    <row r="47" ht="15.75" customHeight="1">
      <c r="A47" s="76">
        <f t="shared" si="3"/>
        <v>25.5</v>
      </c>
      <c r="C47" s="79">
        <f>(((Metric!$C$22/1000)*Metric!$C$26*Metric!$C$30*0.01)/(K47+Metric!$C$12/Metric!$C$28))*60</f>
        <v>9.738194447</v>
      </c>
      <c r="D47" s="79">
        <f t="shared" si="1"/>
        <v>14.8994375</v>
      </c>
      <c r="G47" s="80">
        <f>(Metric!$C$18+Metric!$C$17)+H47^2/(PI()*Metric!$G$8*Metric!$G$6)</f>
        <v>0.04668679168</v>
      </c>
      <c r="H47" s="80">
        <f>(Metric!$K$5*9.80665)/(0.5*Metric!$C$19*A47^2*Metric!$G$9)</f>
        <v>0.1354243972</v>
      </c>
      <c r="I47">
        <f>H47*0.5*Metric!$C$19*A47^2*Metric!$G$9</f>
        <v>42.32114289</v>
      </c>
      <c r="J47" s="81">
        <f t="shared" si="2"/>
        <v>2.900700441</v>
      </c>
      <c r="K47" s="81">
        <f>((((Metric!$K$5*9.80665*A47)/J47))/Metric!$C$28)*100/Metric!$C$31</f>
        <v>41.89688368</v>
      </c>
    </row>
    <row r="48" ht="15.75" customHeight="1">
      <c r="A48" s="76">
        <f t="shared" si="3"/>
        <v>26</v>
      </c>
      <c r="C48" s="79">
        <f>(((Metric!$C$22/1000)*Metric!$C$26*Metric!$C$30*0.01)/(K48+Metric!$C$12/Metric!$C$28))*60</f>
        <v>9.197221553</v>
      </c>
      <c r="D48" s="79">
        <f t="shared" si="1"/>
        <v>14.34766562</v>
      </c>
      <c r="G48" s="80">
        <f>(Metric!$C$18+Metric!$C$17)+H48^2/(PI()*Metric!$G$8*Metric!$G$6)</f>
        <v>0.04663546605</v>
      </c>
      <c r="H48" s="80">
        <f>(Metric!$K$5*9.80665)/(0.5*Metric!$C$19*A48^2*Metric!$G$9)</f>
        <v>0.1302658495</v>
      </c>
      <c r="I48">
        <f>H48*0.5*Metric!$C$19*A48^2*Metric!$G$9</f>
        <v>42.32114289</v>
      </c>
      <c r="J48" s="81">
        <f t="shared" si="2"/>
        <v>2.793278605</v>
      </c>
      <c r="K48" s="81">
        <f>((((Metric!$K$5*9.80665*A48)/J48))/Metric!$C$28)*100/Metric!$C$31</f>
        <v>44.3612234</v>
      </c>
    </row>
    <row r="49" ht="15.75" customHeight="1">
      <c r="A49" s="76">
        <f t="shared" si="3"/>
        <v>26.5</v>
      </c>
      <c r="C49" s="79">
        <f>(((Metric!$C$22/1000)*Metric!$C$26*Metric!$C$30*0.01)/(K49+Metric!$C$12/Metric!$C$28))*60</f>
        <v>8.695076994</v>
      </c>
      <c r="D49" s="79">
        <f t="shared" si="1"/>
        <v>13.82517242</v>
      </c>
      <c r="G49" s="80">
        <f>(Metric!$C$18+Metric!$C$17)+H49^2/(PI()*Metric!$G$8*Metric!$G$6)</f>
        <v>0.04658884671</v>
      </c>
      <c r="H49" s="80">
        <f>(Metric!$K$5*9.80665)/(0.5*Metric!$C$19*A49^2*Metric!$G$9)</f>
        <v>0.1253965316</v>
      </c>
      <c r="I49">
        <f>H49*0.5*Metric!$C$19*A49^2*Metric!$G$9</f>
        <v>42.32114289</v>
      </c>
      <c r="J49" s="81">
        <f t="shared" si="2"/>
        <v>2.691556894</v>
      </c>
      <c r="K49" s="81">
        <f>((((Metric!$K$5*9.80665*A49)/J49))/Metric!$C$28)*100/Metric!$C$31</f>
        <v>46.92310376</v>
      </c>
    </row>
    <row r="50" ht="15.75" customHeight="1">
      <c r="A50" s="76">
        <f t="shared" si="3"/>
        <v>27</v>
      </c>
      <c r="C50" s="79">
        <f>(((Metric!$C$22/1000)*Metric!$C$26*Metric!$C$30*0.01)/(K50+Metric!$C$12/Metric!$C$28))*60</f>
        <v>8.228399876</v>
      </c>
      <c r="D50" s="79">
        <f t="shared" si="1"/>
        <v>13.3300078</v>
      </c>
      <c r="G50" s="80">
        <f>(Metric!$C$18+Metric!$C$17)+H50^2/(PI()*Metric!$G$8*Metric!$G$6)</f>
        <v>0.04654642516</v>
      </c>
      <c r="H50" s="80">
        <f>(Metric!$K$5*9.80665)/(0.5*Metric!$C$19*A50^2*Metric!$G$9)</f>
        <v>0.1207952185</v>
      </c>
      <c r="I50">
        <f>H50*0.5*Metric!$C$19*A50^2*Metric!$G$9</f>
        <v>42.32114289</v>
      </c>
      <c r="J50" s="81">
        <f t="shared" si="2"/>
        <v>2.595155655</v>
      </c>
      <c r="K50" s="81">
        <f>((((Metric!$K$5*9.80665*A50)/J50))/Metric!$C$28)*100/Metric!$C$31</f>
        <v>49.58436709</v>
      </c>
    </row>
    <row r="51" ht="15.75" customHeight="1">
      <c r="A51" s="76">
        <f t="shared" si="3"/>
        <v>27.5</v>
      </c>
      <c r="C51" s="79">
        <f>(((Metric!$C$22/1000)*Metric!$C$26*Metric!$C$30*0.01)/(K51+Metric!$C$12/Metric!$C$28))*60</f>
        <v>7.794164144</v>
      </c>
      <c r="D51" s="79">
        <f t="shared" si="1"/>
        <v>12.86037084</v>
      </c>
      <c r="G51" s="80">
        <f>(Metric!$C$18+Metric!$C$17)+H51^2/(PI()*Metric!$G$8*Metric!$G$6)</f>
        <v>0.04650775589</v>
      </c>
      <c r="H51" s="80">
        <f>(Metric!$K$5*9.80665)/(0.5*Metric!$C$19*A51^2*Metric!$G$9)</f>
        <v>0.1164425974</v>
      </c>
      <c r="I51">
        <f>H51*0.5*Metric!$C$19*A51^2*Metric!$G$9</f>
        <v>42.32114289</v>
      </c>
      <c r="J51" s="81">
        <f t="shared" si="2"/>
        <v>2.503724275</v>
      </c>
      <c r="K51" s="81">
        <f>((((Metric!$K$5*9.80665*A51)/J51))/Metric!$C$28)*100/Metric!$C$31</f>
        <v>52.34685753</v>
      </c>
    </row>
    <row r="52" ht="15.75" customHeight="1">
      <c r="A52" s="76">
        <f t="shared" si="3"/>
        <v>28</v>
      </c>
      <c r="C52" s="79">
        <f>(((Metric!$C$22/1000)*Metric!$C$26*Metric!$C$30*0.01)/(K52+Metric!$C$12/Metric!$C$28))*60</f>
        <v>7.389641564</v>
      </c>
      <c r="D52" s="79">
        <f t="shared" si="1"/>
        <v>12.41459783</v>
      </c>
      <c r="G52" s="80">
        <f>(Metric!$C$18+Metric!$C$17)+H52^2/(PI()*Metric!$G$8*Metric!$G$6)</f>
        <v>0.04647244757</v>
      </c>
      <c r="H52" s="80">
        <f>(Metric!$K$5*9.80665)/(0.5*Metric!$C$19*A52^2*Metric!$G$9)</f>
        <v>0.1123210641</v>
      </c>
      <c r="I52">
        <f>H52*0.5*Metric!$C$19*A52^2*Metric!$G$9</f>
        <v>42.32114289</v>
      </c>
      <c r="J52" s="81">
        <f t="shared" si="2"/>
        <v>2.416938853</v>
      </c>
      <c r="K52" s="81">
        <f>((((Metric!$K$5*9.80665*A52)/J52))/Metric!$C$28)*100/Metric!$C$31</f>
        <v>55.21242085</v>
      </c>
    </row>
    <row r="53" ht="15.75" customHeight="1">
      <c r="A53" s="76">
        <f t="shared" si="3"/>
        <v>28.5</v>
      </c>
      <c r="C53" s="79">
        <f>(((Metric!$C$22/1000)*Metric!$C$26*Metric!$C$30*0.01)/(K53+Metric!$C$12/Metric!$C$28))*60</f>
        <v>7.012369088</v>
      </c>
      <c r="D53" s="79">
        <f t="shared" si="1"/>
        <v>11.99115114</v>
      </c>
      <c r="G53" s="80">
        <f>(Metric!$C$18+Metric!$C$17)+H53^2/(PI()*Metric!$G$8*Metric!$G$6)</f>
        <v>0.04644015567</v>
      </c>
      <c r="H53" s="80">
        <f>(Metric!$K$5*9.80665)/(0.5*Metric!$C$19*A53^2*Metric!$G$9)</f>
        <v>0.1084145451</v>
      </c>
      <c r="I53">
        <f>H53*0.5*Metric!$C$19*A53^2*Metric!$G$9</f>
        <v>42.32114289</v>
      </c>
      <c r="J53" s="81">
        <f t="shared" si="2"/>
        <v>2.334500037</v>
      </c>
      <c r="K53" s="81">
        <f>((((Metric!$K$5*9.80665*A53)/J53))/Metric!$C$28)*100/Metric!$C$31</f>
        <v>58.18290436</v>
      </c>
    </row>
    <row r="54" ht="15.75" customHeight="1">
      <c r="A54" s="76">
        <f t="shared" si="3"/>
        <v>29</v>
      </c>
      <c r="C54" s="79">
        <f>(((Metric!$C$22/1000)*Metric!$C$26*Metric!$C$30*0.01)/(K54+Metric!$C$12/Metric!$C$28))*60</f>
        <v>6.660120083</v>
      </c>
      <c r="D54" s="79">
        <f t="shared" si="1"/>
        <v>11.58860894</v>
      </c>
      <c r="G54" s="80">
        <f>(Metric!$C$18+Metric!$C$17)+H54^2/(PI()*Metric!$G$8*Metric!$G$6)</f>
        <v>0.04641057618</v>
      </c>
      <c r="H54" s="80">
        <f>(Metric!$K$5*9.80665)/(0.5*Metric!$C$19*A54^2*Metric!$G$9)</f>
        <v>0.1047083404</v>
      </c>
      <c r="I54">
        <f>H54*0.5*Metric!$C$19*A54^2*Metric!$G$9</f>
        <v>42.32114289</v>
      </c>
      <c r="J54" s="81">
        <f t="shared" si="2"/>
        <v>2.256131016</v>
      </c>
      <c r="K54" s="81">
        <f>((((Metric!$K$5*9.80665*A54)/J54))/Metric!$C$28)*100/Metric!$C$31</f>
        <v>61.26015671</v>
      </c>
    </row>
    <row r="55" ht="15.75" customHeight="1">
      <c r="A55" s="76">
        <f t="shared" si="3"/>
        <v>29.5</v>
      </c>
      <c r="C55" s="79">
        <f>(((Metric!$C$22/1000)*Metric!$C$26*Metric!$C$30*0.01)/(K55+Metric!$C$12/Metric!$C$28))*60</f>
        <v>6.330878936</v>
      </c>
      <c r="D55" s="79">
        <f t="shared" si="1"/>
        <v>11.20565572</v>
      </c>
      <c r="G55" s="80">
        <f>(Metric!$C$18+Metric!$C$17)+H55^2/(PI()*Metric!$G$8*Metric!$G$6)</f>
        <v>0.04638344023</v>
      </c>
      <c r="H55" s="80">
        <f>(Metric!$K$5*9.80665)/(0.5*Metric!$C$19*A55^2*Metric!$G$9)</f>
        <v>0.1011889851</v>
      </c>
      <c r="I55">
        <f>H55*0.5*Metric!$C$19*A55^2*Metric!$G$9</f>
        <v>42.32114289</v>
      </c>
      <c r="J55" s="81">
        <f t="shared" si="2"/>
        <v>2.181575679</v>
      </c>
      <c r="K55" s="81">
        <f>((((Metric!$K$5*9.80665*A55)/J55))/Metric!$C$28)*100/Metric!$C$31</f>
        <v>64.44602781</v>
      </c>
    </row>
    <row r="56" ht="15.75" customHeight="1">
      <c r="A56" s="76">
        <f t="shared" si="3"/>
        <v>30</v>
      </c>
      <c r="C56" s="79">
        <f>(((Metric!$C$22/1000)*Metric!$C$26*Metric!$C$30*0.01)/(K56+Metric!$C$12/Metric!$C$28))*60</f>
        <v>6.022818624</v>
      </c>
      <c r="D56" s="79">
        <f t="shared" si="1"/>
        <v>10.84107352</v>
      </c>
      <c r="G56" s="80">
        <f>(Metric!$C$18+Metric!$C$17)+H56^2/(PI()*Metric!$G$8*Metric!$G$6)</f>
        <v>0.04635850955</v>
      </c>
      <c r="H56" s="80">
        <f>(Metric!$K$5*9.80665)/(0.5*Metric!$C$19*A56^2*Metric!$G$9)</f>
        <v>0.09784412698</v>
      </c>
      <c r="I56">
        <f>H56*0.5*Metric!$C$19*A56^2*Metric!$G$9</f>
        <v>42.32114289</v>
      </c>
      <c r="J56" s="81">
        <f t="shared" si="2"/>
        <v>2.11059691</v>
      </c>
      <c r="K56" s="81">
        <f>((((Metric!$K$5*9.80665*A56)/J56))/Metric!$C$28)*100/Metric!$C$31</f>
        <v>67.74236873</v>
      </c>
    </row>
    <row r="57" ht="15.75" customHeight="1">
      <c r="A57" s="76">
        <f t="shared" si="3"/>
        <v>30.5</v>
      </c>
      <c r="C57" s="79">
        <f>(((Metric!$C$22/1000)*Metric!$C$26*Metric!$C$30*0.01)/(K57+Metric!$C$12/Metric!$C$28))*60</f>
        <v>5.73428088</v>
      </c>
      <c r="D57" s="79">
        <f t="shared" si="1"/>
        <v>10.49373401</v>
      </c>
      <c r="G57" s="80">
        <f>(Metric!$C$18+Metric!$C$17)+H57^2/(PI()*Metric!$G$8*Metric!$G$6)</f>
        <v>0.04633557252</v>
      </c>
      <c r="H57" s="80">
        <f>(Metric!$K$5*9.80665)/(0.5*Metric!$C$19*A57^2*Metric!$G$9)</f>
        <v>0.09466241794</v>
      </c>
      <c r="I57">
        <f>H57*0.5*Metric!$C$19*A57^2*Metric!$G$9</f>
        <v>42.32114289</v>
      </c>
      <c r="J57" s="81">
        <f t="shared" si="2"/>
        <v>2.042975036</v>
      </c>
      <c r="K57" s="81">
        <f>((((Metric!$K$5*9.80665*A57)/J57))/Metric!$C$28)*100/Metric!$C$31</f>
        <v>71.15103159</v>
      </c>
    </row>
    <row r="58" ht="15.75" customHeight="1">
      <c r="A58" s="76">
        <f t="shared" si="3"/>
        <v>31</v>
      </c>
      <c r="C58" s="79">
        <f>(((Metric!$C$22/1000)*Metric!$C$26*Metric!$C$30*0.01)/(K58+Metric!$C$12/Metric!$C$28))*60</f>
        <v>5.463758646</v>
      </c>
      <c r="D58" s="79">
        <f t="shared" si="1"/>
        <v>10.16259108</v>
      </c>
      <c r="G58" s="80">
        <f>(Metric!$C$18+Metric!$C$17)+H58^2/(PI()*Metric!$G$8*Metric!$G$6)</f>
        <v>0.04631444086</v>
      </c>
      <c r="H58" s="80">
        <f>(Metric!$K$5*9.80665)/(0.5*Metric!$C$19*A58^2*Metric!$G$9)</f>
        <v>0.09163341757</v>
      </c>
      <c r="I58">
        <f>H58*0.5*Metric!$C$19*A58^2*Metric!$G$9</f>
        <v>42.32114289</v>
      </c>
      <c r="J58" s="81">
        <f t="shared" si="2"/>
        <v>1.978506398</v>
      </c>
      <c r="K58" s="81">
        <f>((((Metric!$K$5*9.80665*A58)/J58))/Metric!$C$28)*100/Metric!$C$31</f>
        <v>74.67386948</v>
      </c>
    </row>
    <row r="59" ht="15.75" customHeight="1">
      <c r="A59" s="76">
        <f t="shared" si="3"/>
        <v>31.5</v>
      </c>
      <c r="C59" s="79">
        <f>(((Metric!$C$22/1000)*Metric!$C$26*Metric!$C$30*0.01)/(K59+Metric!$C$12/Metric!$C$28))*60</f>
        <v>5.209880523</v>
      </c>
      <c r="D59" s="79">
        <f t="shared" si="1"/>
        <v>9.846674188</v>
      </c>
      <c r="G59" s="80">
        <f>(Metric!$C$18+Metric!$C$17)+H59^2/(PI()*Metric!$G$8*Metric!$G$6)</f>
        <v>0.04629494669</v>
      </c>
      <c r="H59" s="80">
        <f>(Metric!$K$5*9.80665)/(0.5*Metric!$C$19*A59^2*Metric!$G$9)</f>
        <v>0.08874750747</v>
      </c>
      <c r="I59">
        <f>H59*0.5*Metric!$C$19*A59^2*Metric!$G$9</f>
        <v>42.32114289</v>
      </c>
      <c r="J59" s="81">
        <f t="shared" si="2"/>
        <v>1.917002045</v>
      </c>
      <c r="K59" s="81">
        <f>((((Metric!$K$5*9.80665*A59)/J59))/Metric!$C$28)*100/Metric!$C$31</f>
        <v>78.31273639</v>
      </c>
    </row>
    <row r="60" ht="15.75" customHeight="1">
      <c r="A60" s="76">
        <f t="shared" si="3"/>
        <v>32</v>
      </c>
      <c r="C60" s="79">
        <f>(((Metric!$C$22/1000)*Metric!$C$26*Metric!$C$30*0.01)/(K60+Metric!$C$12/Metric!$C$28))*60</f>
        <v>4.971396974</v>
      </c>
      <c r="D60" s="79">
        <f t="shared" si="1"/>
        <v>9.54508219</v>
      </c>
      <c r="G60" s="80">
        <f>(Metric!$C$18+Metric!$C$17)+H60^2/(PI()*Metric!$G$8*Metric!$G$6)</f>
        <v>0.04627694009</v>
      </c>
      <c r="H60" s="80">
        <f>(Metric!$K$5*9.80665)/(0.5*Metric!$C$19*A60^2*Metric!$G$9)</f>
        <v>0.08599581473</v>
      </c>
      <c r="I60">
        <f>H60*0.5*Metric!$C$19*A60^2*Metric!$G$9</f>
        <v>42.32114289</v>
      </c>
      <c r="J60" s="81">
        <f t="shared" si="2"/>
        <v>1.858286537</v>
      </c>
      <c r="K60" s="81">
        <f>((((Metric!$K$5*9.80665*A60)/J60))/Metric!$C$28)*100/Metric!$C$31</f>
        <v>82.06948714</v>
      </c>
    </row>
    <row r="61" ht="15.75" customHeight="1">
      <c r="A61" s="76">
        <f t="shared" si="3"/>
        <v>32.5</v>
      </c>
      <c r="C61" s="79">
        <f>(((Metric!$C$22/1000)*Metric!$C$26*Metric!$C$30*0.01)/(K61+Metric!$C$12/Metric!$C$28))*60</f>
        <v>4.74716808</v>
      </c>
      <c r="D61" s="79">
        <f t="shared" si="1"/>
        <v>9.256977756</v>
      </c>
      <c r="G61" s="80">
        <f>(Metric!$C$18+Metric!$C$17)+H61^2/(PI()*Metric!$G$8*Metric!$G$6)</f>
        <v>0.04626028689</v>
      </c>
      <c r="H61" s="80">
        <f>(Metric!$K$5*9.80665)/(0.5*Metric!$C$19*A61^2*Metric!$G$9)</f>
        <v>0.0833701437</v>
      </c>
      <c r="I61">
        <f>H61*0.5*Metric!$C$19*A61^2*Metric!$G$9</f>
        <v>42.32114289</v>
      </c>
      <c r="J61" s="81">
        <f t="shared" si="2"/>
        <v>1.802196858</v>
      </c>
      <c r="K61" s="81">
        <f>((((Metric!$K$5*9.80665*A61)/J61))/Metric!$C$28)*100/Metric!$C$31</f>
        <v>85.94597729</v>
      </c>
    </row>
    <row r="62" ht="15.75" customHeight="1">
      <c r="A62" s="76">
        <f t="shared" si="3"/>
        <v>33</v>
      </c>
      <c r="C62" s="79">
        <f>(((Metric!$C$22/1000)*Metric!$C$26*Metric!$C$30*0.01)/(K62+Metric!$C$12/Metric!$C$28))*60</f>
        <v>4.536152646</v>
      </c>
      <c r="D62" s="79">
        <f t="shared" si="1"/>
        <v>8.98158224</v>
      </c>
      <c r="G62" s="80">
        <f>(Metric!$C$18+Metric!$C$17)+H62^2/(PI()*Metric!$G$8*Metric!$G$6)</f>
        <v>0.04624486685</v>
      </c>
      <c r="H62" s="80">
        <f>(Metric!$K$5*9.80665)/(0.5*Metric!$C$19*A62^2*Metric!$G$9)</f>
        <v>0.08086291486</v>
      </c>
      <c r="I62">
        <f>H62*0.5*Metric!$C$19*A62^2*Metric!$G$9</f>
        <v>42.32114289</v>
      </c>
      <c r="J62" s="81">
        <f t="shared" si="2"/>
        <v>1.748581418</v>
      </c>
      <c r="K62" s="81">
        <f>((((Metric!$K$5*9.80665*A62)/J62))/Metric!$C$28)*100/Metric!$C$31</f>
        <v>89.94406313</v>
      </c>
    </row>
    <row r="63" ht="15.75" customHeight="1">
      <c r="A63" s="76">
        <f t="shared" si="3"/>
        <v>33.5</v>
      </c>
      <c r="C63" s="79">
        <f>(((Metric!$C$22/1000)*Metric!$C$26*Metric!$C$30*0.01)/(K63+Metric!$C$12/Metric!$C$28))*60</f>
        <v>4.337398508</v>
      </c>
      <c r="D63" s="79">
        <f t="shared" si="1"/>
        <v>8.718171002</v>
      </c>
      <c r="G63" s="80">
        <f>(Metric!$C$18+Metric!$C$17)+H63^2/(PI()*Metric!$G$8*Metric!$G$6)</f>
        <v>0.04623057197</v>
      </c>
      <c r="H63" s="80">
        <f>(Metric!$K$5*9.80665)/(0.5*Metric!$C$19*A63^2*Metric!$G$9)</f>
        <v>0.07846711008</v>
      </c>
      <c r="I63">
        <f>H63*0.5*Metric!$C$19*A63^2*Metric!$G$9</f>
        <v>42.32114289</v>
      </c>
      <c r="J63" s="81">
        <f t="shared" si="2"/>
        <v>1.697299141</v>
      </c>
      <c r="K63" s="81">
        <f>((((Metric!$K$5*9.80665*A63)/J63))/Metric!$C$28)*100/Metric!$C$31</f>
        <v>94.06560159</v>
      </c>
    </row>
    <row r="64" ht="15.75" customHeight="1">
      <c r="A64" s="76">
        <f t="shared" si="3"/>
        <v>34</v>
      </c>
      <c r="C64" s="79">
        <f>(((Metric!$C$22/1000)*Metric!$C$26*Metric!$C$30*0.01)/(K64+Metric!$C$12/Metric!$C$28))*60</f>
        <v>4.150033889</v>
      </c>
      <c r="D64" s="79">
        <f t="shared" si="1"/>
        <v>8.466069134</v>
      </c>
      <c r="G64" s="80">
        <f>(Metric!$C$18+Metric!$C$17)+H64^2/(PI()*Metric!$G$8*Metric!$G$6)</f>
        <v>0.04621730518</v>
      </c>
      <c r="H64" s="80">
        <f>(Metric!$K$5*9.80665)/(0.5*Metric!$C$19*A64^2*Metric!$G$9)</f>
        <v>0.07617622343</v>
      </c>
      <c r="I64">
        <f>H64*0.5*Metric!$C$19*A64^2*Metric!$G$9</f>
        <v>42.32114289</v>
      </c>
      <c r="J64" s="81">
        <f t="shared" si="2"/>
        <v>1.64821863</v>
      </c>
      <c r="K64" s="81">
        <f>((((Metric!$K$5*9.80665*A64)/J64))/Metric!$C$28)*100/Metric!$C$31</f>
        <v>98.31245018</v>
      </c>
    </row>
    <row r="65" ht="15.75" customHeight="1">
      <c r="A65" s="76">
        <f t="shared" si="3"/>
        <v>34.5</v>
      </c>
      <c r="C65" s="79">
        <f>(((Metric!$C$22/1000)*Metric!$C$26*Metric!$C$30*0.01)/(K65+Metric!$C$12/Metric!$C$28))*60</f>
        <v>3.973259689</v>
      </c>
      <c r="D65" s="79">
        <f t="shared" si="1"/>
        <v>8.224647557</v>
      </c>
      <c r="G65" s="80">
        <f>(Metric!$C$18+Metric!$C$17)+H65^2/(PI()*Metric!$G$8*Metric!$G$6)</f>
        <v>0.046204979</v>
      </c>
      <c r="H65" s="80">
        <f>(Metric!$K$5*9.80665)/(0.5*Metric!$C$19*A65^2*Metric!$G$9)</f>
        <v>0.073984217</v>
      </c>
      <c r="I65">
        <f>H65*0.5*Metric!$C$19*A65^2*Metric!$G$9</f>
        <v>42.32114289</v>
      </c>
      <c r="J65" s="81">
        <f t="shared" si="2"/>
        <v>1.601217414</v>
      </c>
      <c r="K65" s="81">
        <f>((((Metric!$K$5*9.80665*A65)/J65))/Metric!$C$28)*100/Metric!$C$31</f>
        <v>102.686467</v>
      </c>
    </row>
    <row r="66" ht="15.75" customHeight="1">
      <c r="A66" s="76">
        <f t="shared" si="3"/>
        <v>35</v>
      </c>
      <c r="C66" s="79">
        <f>(((Metric!$C$22/1000)*Metric!$C$26*Metric!$C$30*0.01)/(K66+Metric!$C$12/Metric!$C$28))*60</f>
        <v>3.806342593</v>
      </c>
      <c r="D66" s="79">
        <f t="shared" si="1"/>
        <v>7.993319445</v>
      </c>
      <c r="G66" s="80">
        <f>(Metric!$C$18+Metric!$C$17)+H66^2/(PI()*Metric!$G$8*Metric!$G$6)</f>
        <v>0.04619351452</v>
      </c>
      <c r="H66" s="80">
        <f>(Metric!$K$5*9.80665)/(0.5*Metric!$C$19*A66^2*Metric!$G$9)</f>
        <v>0.07188548105</v>
      </c>
      <c r="I66">
        <f>H66*0.5*Metric!$C$19*A66^2*Metric!$G$9</f>
        <v>42.32114289</v>
      </c>
      <c r="J66" s="81">
        <f t="shared" si="2"/>
        <v>1.556181247</v>
      </c>
      <c r="K66" s="81">
        <f>((((Metric!$K$5*9.80665*A66)/J66))/Metric!$C$28)*100/Metric!$C$31</f>
        <v>107.1895107</v>
      </c>
    </row>
    <row r="67" ht="15.75" customHeight="1">
      <c r="A67" s="76">
        <f t="shared" si="3"/>
        <v>35.5</v>
      </c>
      <c r="C67" s="79">
        <f>(((Metric!$C$22/1000)*Metric!$C$26*Metric!$C$30*0.01)/(K67+Metric!$C$12/Metric!$C$28))*60</f>
        <v>3.648608905</v>
      </c>
      <c r="D67" s="79">
        <f t="shared" si="1"/>
        <v>7.771536967</v>
      </c>
      <c r="G67" s="80">
        <f>(Metric!$C$18+Metric!$C$17)+H67^2/(PI()*Metric!$G$8*Metric!$G$6)</f>
        <v>0.04618284047</v>
      </c>
      <c r="H67" s="80">
        <f>(Metric!$K$5*9.80665)/(0.5*Metric!$C$19*A67^2*Metric!$G$9)</f>
        <v>0.06987479808</v>
      </c>
      <c r="I67">
        <f>H67*0.5*Metric!$C$19*A67^2*Metric!$G$9</f>
        <v>42.32114289</v>
      </c>
      <c r="J67" s="81">
        <f t="shared" si="2"/>
        <v>1.513003474</v>
      </c>
      <c r="K67" s="81">
        <f>((((Metric!$K$5*9.80665*A67)/J67))/Metric!$C$28)*100/Metric!$C$31</f>
        <v>111.8234403</v>
      </c>
    </row>
    <row r="68" ht="15.75" customHeight="1">
      <c r="A68" s="76">
        <f t="shared" si="3"/>
        <v>36</v>
      </c>
      <c r="C68" s="79">
        <f>(((Metric!$C$22/1000)*Metric!$C$26*Metric!$C$30*0.01)/(K68+Metric!$C$12/Metric!$C$28))*60</f>
        <v>3.499439028</v>
      </c>
      <c r="D68" s="79">
        <f t="shared" si="1"/>
        <v>7.5587883</v>
      </c>
      <c r="G68" s="80">
        <f>(Metric!$C$18+Metric!$C$17)+H68^2/(PI()*Metric!$G$8*Metric!$G$6)</f>
        <v>0.04617289234</v>
      </c>
      <c r="H68" s="80">
        <f>(Metric!$K$5*9.80665)/(0.5*Metric!$C$19*A68^2*Metric!$G$9)</f>
        <v>0.06794731041</v>
      </c>
      <c r="I68">
        <f>H68*0.5*Metric!$C$19*A68^2*Metric!$G$9</f>
        <v>42.32114289</v>
      </c>
      <c r="J68" s="81">
        <f t="shared" si="2"/>
        <v>1.471584451</v>
      </c>
      <c r="K68" s="81">
        <f>((((Metric!$K$5*9.80665*A68)/J68))/Metric!$C$28)*100/Metric!$C$31</f>
        <v>116.5901154</v>
      </c>
    </row>
    <row r="69" ht="15.75" customHeight="1">
      <c r="A69" s="76">
        <f t="shared" si="3"/>
        <v>36.5</v>
      </c>
      <c r="C69" s="79">
        <f>(((Metric!$C$22/1000)*Metric!$C$26*Metric!$C$30*0.01)/(K69+Metric!$C$12/Metric!$C$28))*60</f>
        <v>3.358262509</v>
      </c>
      <c r="D69" s="79">
        <f t="shared" si="1"/>
        <v>7.354594894</v>
      </c>
      <c r="G69" s="80">
        <f>(Metric!$C$18+Metric!$C$17)+H69^2/(PI()*Metric!$G$8*Metric!$G$6)</f>
        <v>0.04616361167</v>
      </c>
      <c r="H69" s="80">
        <f>(Metric!$K$5*9.80665)/(0.5*Metric!$C$19*A69^2*Metric!$G$9)</f>
        <v>0.06609849074</v>
      </c>
      <c r="I69">
        <f>H69*0.5*Metric!$C$19*A69^2*Metric!$G$9</f>
        <v>42.32114289</v>
      </c>
      <c r="J69" s="81">
        <f t="shared" si="2"/>
        <v>1.43183101</v>
      </c>
      <c r="K69" s="81">
        <f>((((Metric!$K$5*9.80665*A69)/J69))/Metric!$C$28)*100/Metric!$C$31</f>
        <v>121.4913959</v>
      </c>
    </row>
    <row r="70" ht="15.75" customHeight="1">
      <c r="A70" s="76">
        <f t="shared" si="3"/>
        <v>37</v>
      </c>
      <c r="C70" s="79">
        <f>(((Metric!$C$22/1000)*Metric!$C$26*Metric!$C$30*0.01)/(K70+Metric!$C$12/Metric!$C$28))*60</f>
        <v>3.224553592</v>
      </c>
      <c r="D70" s="79">
        <f t="shared" si="1"/>
        <v>7.158508973</v>
      </c>
      <c r="G70" s="80">
        <f>(Metric!$C$18+Metric!$C$17)+H70^2/(PI()*Metric!$G$8*Metric!$G$6)</f>
        <v>0.04615494546</v>
      </c>
      <c r="H70" s="80">
        <f>(Metric!$K$5*9.80665)/(0.5*Metric!$C$19*A70^2*Metric!$G$9)</f>
        <v>0.06432411562</v>
      </c>
      <c r="I70">
        <f>H70*0.5*Metric!$C$19*A70^2*Metric!$G$9</f>
        <v>42.32114289</v>
      </c>
      <c r="J70" s="81">
        <f t="shared" si="2"/>
        <v>1.393655977</v>
      </c>
      <c r="K70" s="81">
        <f>((((Metric!$K$5*9.80665*A70)/J70))/Metric!$C$28)*100/Metric!$C$31</f>
        <v>126.5291422</v>
      </c>
    </row>
    <row r="71" ht="15.75" customHeight="1">
      <c r="A71" s="76">
        <f t="shared" si="3"/>
        <v>37.5</v>
      </c>
      <c r="C71" s="79">
        <f>(((Metric!$C$22/1000)*Metric!$C$26*Metric!$C$30*0.01)/(K71+Metric!$C$12/Metric!$C$28))*60</f>
        <v>3.097827219</v>
      </c>
      <c r="D71" s="79">
        <f t="shared" si="1"/>
        <v>6.970111242</v>
      </c>
      <c r="G71" s="80">
        <f>(Metric!$C$18+Metric!$C$17)+H71^2/(PI()*Metric!$G$8*Metric!$G$6)</f>
        <v>0.04614684551</v>
      </c>
      <c r="H71" s="80">
        <f>(Metric!$K$5*9.80665)/(0.5*Metric!$C$19*A71^2*Metric!$G$9)</f>
        <v>0.06262024127</v>
      </c>
      <c r="I71">
        <f>H71*0.5*Metric!$C$19*A71^2*Metric!$G$9</f>
        <v>42.32114289</v>
      </c>
      <c r="J71" s="81">
        <f t="shared" si="2"/>
        <v>1.356977721</v>
      </c>
      <c r="K71" s="81">
        <f>((((Metric!$K$5*9.80665*A71)/J71))/Metric!$C$28)*100/Metric!$C$31</f>
        <v>131.705215</v>
      </c>
    </row>
    <row r="72" ht="15.75" customHeight="1">
      <c r="A72" s="76">
        <f t="shared" si="3"/>
        <v>38</v>
      </c>
      <c r="C72" s="79">
        <f>(((Metric!$C$22/1000)*Metric!$C$26*Metric!$C$30*0.01)/(K72+Metric!$C$12/Metric!$C$28))*60</f>
        <v>2.977635431</v>
      </c>
      <c r="D72" s="79">
        <f t="shared" si="1"/>
        <v>6.789008782</v>
      </c>
      <c r="G72" s="80">
        <f>(Metric!$C$18+Metric!$C$17)+H72^2/(PI()*Metric!$G$8*Metric!$G$6)</f>
        <v>0.04613926801</v>
      </c>
      <c r="H72" s="80">
        <f>(Metric!$K$5*9.80665)/(0.5*Metric!$C$19*A72^2*Metric!$G$9)</f>
        <v>0.06098318164</v>
      </c>
      <c r="I72">
        <f>H72*0.5*Metric!$C$19*A72^2*Metric!$G$9</f>
        <v>42.32114289</v>
      </c>
      <c r="J72" s="81">
        <f t="shared" si="2"/>
        <v>1.321719747</v>
      </c>
      <c r="K72" s="81">
        <f>((((Metric!$K$5*9.80665*A72)/J72))/Metric!$C$28)*100/Metric!$C$31</f>
        <v>137.0214754</v>
      </c>
    </row>
    <row r="73" ht="15.75" customHeight="1">
      <c r="A73" s="76">
        <f t="shared" si="3"/>
        <v>38.5</v>
      </c>
      <c r="C73" s="79">
        <f>(((Metric!$C$22/1000)*Metric!$C$26*Metric!$C$30*0.01)/(K73+Metric!$C$12/Metric!$C$28))*60</f>
        <v>2.863564124</v>
      </c>
      <c r="D73" s="79">
        <f t="shared" si="1"/>
        <v>6.614833127</v>
      </c>
      <c r="G73" s="80">
        <f>(Metric!$C$18+Metric!$C$17)+H73^2/(PI()*Metric!$G$8*Metric!$G$6)</f>
        <v>0.04613217302</v>
      </c>
      <c r="H73" s="80">
        <f>(Metric!$K$5*9.80665)/(0.5*Metric!$C$19*A73^2*Metric!$G$9)</f>
        <v>0.05940948847</v>
      </c>
      <c r="I73">
        <f>H73*0.5*Metric!$C$19*A73^2*Metric!$G$9</f>
        <v>42.32114289</v>
      </c>
      <c r="J73" s="81">
        <f t="shared" si="2"/>
        <v>1.287810319</v>
      </c>
      <c r="K73" s="81">
        <f>((((Metric!$K$5*9.80665*A73)/J73))/Metric!$C$28)*100/Metric!$C$31</f>
        <v>142.4797847</v>
      </c>
    </row>
    <row r="74" ht="15.75" customHeight="1">
      <c r="A74" s="76">
        <f t="shared" si="3"/>
        <v>39</v>
      </c>
      <c r="C74" s="79">
        <f>(((Metric!$C$22/1000)*Metric!$C$26*Metric!$C$30*0.01)/(K74+Metric!$C$12/Metric!$C$28))*60</f>
        <v>2.755230124</v>
      </c>
      <c r="D74" s="79">
        <f t="shared" si="1"/>
        <v>6.447238489</v>
      </c>
      <c r="G74" s="80">
        <f>(Metric!$C$18+Metric!$C$17)+H74^2/(PI()*Metric!$G$8*Metric!$G$6)</f>
        <v>0.04612552416</v>
      </c>
      <c r="H74" s="80">
        <f>(Metric!$K$5*9.80665)/(0.5*Metric!$C$19*A74^2*Metric!$G$9)</f>
        <v>0.05789593313</v>
      </c>
      <c r="I74">
        <f>H74*0.5*Metric!$C$19*A74^2*Metric!$G$9</f>
        <v>42.32114289</v>
      </c>
      <c r="J74" s="81">
        <f t="shared" si="2"/>
        <v>1.255182118</v>
      </c>
      <c r="K74" s="81">
        <f>((((Metric!$K$5*9.80665*A74)/J74))/Metric!$C$28)*100/Metric!$C$31</f>
        <v>148.0820047</v>
      </c>
    </row>
    <row r="75" ht="15.75" customHeight="1">
      <c r="A75" s="76">
        <f t="shared" si="3"/>
        <v>39.5</v>
      </c>
      <c r="C75" s="79">
        <f>(((Metric!$C$22/1000)*Metric!$C$26*Metric!$C$30*0.01)/(K75+Metric!$C$12/Metric!$C$28))*60</f>
        <v>2.652278539</v>
      </c>
      <c r="D75" s="79">
        <f t="shared" si="1"/>
        <v>6.285900137</v>
      </c>
      <c r="G75" s="80">
        <f>(Metric!$C$18+Metric!$C$17)+H75^2/(PI()*Metric!$G$8*Metric!$G$6)</f>
        <v>0.04611928817</v>
      </c>
      <c r="H75" s="80">
        <f>(Metric!$K$5*9.80665)/(0.5*Metric!$C$19*A75^2*Metric!$G$9)</f>
        <v>0.05643949001</v>
      </c>
      <c r="I75">
        <f>H75*0.5*Metric!$C$19*A75^2*Metric!$G$9</f>
        <v>42.32114289</v>
      </c>
      <c r="J75" s="81">
        <f t="shared" si="2"/>
        <v>1.223771924</v>
      </c>
      <c r="K75" s="81">
        <f>((((Metric!$K$5*9.80665*A75)/J75))/Metric!$C$28)*100/Metric!$C$31</f>
        <v>153.8299971</v>
      </c>
    </row>
    <row r="76" ht="15.75" customHeight="1">
      <c r="A76" s="76">
        <f t="shared" si="3"/>
        <v>40</v>
      </c>
      <c r="C76" s="79">
        <f>(((Metric!$C$22/1000)*Metric!$C$26*Metric!$C$30*0.01)/(K76+Metric!$C$12/Metric!$C$28))*60</f>
        <v>2.554380373</v>
      </c>
      <c r="D76" s="79">
        <f t="shared" si="1"/>
        <v>6.130512896</v>
      </c>
      <c r="G76" s="80">
        <f>(Metric!$C$18+Metric!$C$17)+H76^2/(PI()*Metric!$G$8*Metric!$G$6)</f>
        <v>0.04611343466</v>
      </c>
      <c r="H76" s="80">
        <f>(Metric!$K$5*9.80665)/(0.5*Metric!$C$19*A76^2*Metric!$G$9)</f>
        <v>0.05503732143</v>
      </c>
      <c r="I76">
        <f>H76*0.5*Metric!$C$19*A76^2*Metric!$G$9</f>
        <v>42.32114289</v>
      </c>
      <c r="J76" s="81">
        <f t="shared" si="2"/>
        <v>1.193520323</v>
      </c>
      <c r="K76" s="81">
        <f>((((Metric!$K$5*9.80665*A76)/J76))/Metric!$C$28)*100/Metric!$C$31</f>
        <v>159.7256244</v>
      </c>
    </row>
    <row r="77" ht="15.75" customHeight="1">
      <c r="A77" s="76">
        <f t="shared" si="3"/>
        <v>40.5</v>
      </c>
      <c r="C77" s="79">
        <f>(((Metric!$C$22/1000)*Metric!$C$26*Metric!$C$30*0.01)/(K77+Metric!$C$12/Metric!$C$28))*60</f>
        <v>2.461230361</v>
      </c>
      <c r="D77" s="79">
        <f t="shared" si="1"/>
        <v>5.980789777</v>
      </c>
      <c r="G77" s="80">
        <f>(Metric!$C$18+Metric!$C$17)+H77^2/(PI()*Metric!$G$8*Metric!$G$6)</f>
        <v>0.04610793583</v>
      </c>
      <c r="H77" s="80">
        <f>(Metric!$K$5*9.80665)/(0.5*Metric!$C$19*A77^2*Metric!$G$9)</f>
        <v>0.05368676378</v>
      </c>
      <c r="I77">
        <f>H77*0.5*Metric!$C$19*A77^2*Metric!$G$9</f>
        <v>42.32114289</v>
      </c>
      <c r="J77" s="81">
        <f t="shared" si="2"/>
        <v>1.164371443</v>
      </c>
      <c r="K77" s="81">
        <f>((((Metric!$K$5*9.80665*A77)/J77))/Metric!$C$28)*100/Metric!$C$31</f>
        <v>165.7707488</v>
      </c>
    </row>
    <row r="78" ht="15.75" customHeight="1">
      <c r="A78" s="76">
        <f t="shared" si="3"/>
        <v>41</v>
      </c>
      <c r="C78" s="79">
        <f>(((Metric!$C$22/1000)*Metric!$C$26*Metric!$C$30*0.01)/(K78+Metric!$C$12/Metric!$C$28))*60</f>
        <v>2.372545004</v>
      </c>
      <c r="D78" s="79">
        <f t="shared" si="1"/>
        <v>5.83646071</v>
      </c>
      <c r="G78" s="80">
        <f>(Metric!$C$18+Metric!$C$17)+H78^2/(PI()*Metric!$G$8*Metric!$G$6)</f>
        <v>0.0461027662</v>
      </c>
      <c r="H78" s="80">
        <f>(Metric!$K$5*9.80665)/(0.5*Metric!$C$19*A78^2*Metric!$G$9)</f>
        <v>0.05238531486</v>
      </c>
      <c r="I78">
        <f>H78*0.5*Metric!$C$19*A78^2*Metric!$G$9</f>
        <v>42.32114289</v>
      </c>
      <c r="J78" s="81">
        <f t="shared" si="2"/>
        <v>1.136272705</v>
      </c>
      <c r="K78" s="81">
        <f>((((Metric!$K$5*9.80665*A78)/J78))/Metric!$C$28)*100/Metric!$C$31</f>
        <v>171.9672332</v>
      </c>
    </row>
    <row r="79" ht="15.75" customHeight="1">
      <c r="A79" s="76">
        <f t="shared" si="3"/>
        <v>41.5</v>
      </c>
      <c r="C79" s="79">
        <f>(((Metric!$C$22/1000)*Metric!$C$26*Metric!$C$30*0.01)/(K79+Metric!$C$12/Metric!$C$28))*60</f>
        <v>2.288060793</v>
      </c>
      <c r="D79" s="79">
        <f t="shared" si="1"/>
        <v>5.697271374</v>
      </c>
      <c r="G79" s="80">
        <f>(Metric!$C$18+Metric!$C$17)+H79^2/(PI()*Metric!$G$8*Metric!$G$6)</f>
        <v>0.0460979024</v>
      </c>
      <c r="H79" s="80">
        <f>(Metric!$K$5*9.80665)/(0.5*Metric!$C$19*A79^2*Metric!$G$9)</f>
        <v>0.05113062232</v>
      </c>
      <c r="I79">
        <f>H79*0.5*Metric!$C$19*A79^2*Metric!$G$9</f>
        <v>42.32114289</v>
      </c>
      <c r="J79" s="81">
        <f t="shared" si="2"/>
        <v>1.109174597</v>
      </c>
      <c r="K79" s="81">
        <f>((((Metric!$K$5*9.80665*A79)/J79))/Metric!$C$28)*100/Metric!$C$31</f>
        <v>178.3169404</v>
      </c>
    </row>
    <row r="80" ht="15.75" customHeight="1">
      <c r="A80" s="76">
        <f t="shared" si="3"/>
        <v>42</v>
      </c>
      <c r="C80" s="79">
        <f>(((Metric!$C$22/1000)*Metric!$C$26*Metric!$C$30*0.01)/(K80+Metric!$C$12/Metric!$C$28))*60</f>
        <v>2.20753259</v>
      </c>
      <c r="D80" s="79">
        <f t="shared" si="1"/>
        <v>5.562982126</v>
      </c>
      <c r="G80" s="80">
        <f>(Metric!$C$18+Metric!$C$17)+H80^2/(PI()*Metric!$G$8*Metric!$G$6)</f>
        <v>0.04609332298</v>
      </c>
      <c r="H80" s="80">
        <f>(Metric!$K$5*9.80665)/(0.5*Metric!$C$19*A80^2*Metric!$G$9)</f>
        <v>0.04992047295</v>
      </c>
      <c r="I80">
        <f>H80*0.5*Metric!$C$19*A80^2*Metric!$G$9</f>
        <v>42.32114289</v>
      </c>
      <c r="J80" s="81">
        <f t="shared" si="2"/>
        <v>1.083030464</v>
      </c>
      <c r="K80" s="81">
        <f>((((Metric!$K$5*9.80665*A80)/J80))/Metric!$C$28)*100/Metric!$C$31</f>
        <v>184.8217335</v>
      </c>
    </row>
    <row r="81" ht="15.75" customHeight="1">
      <c r="A81" s="76"/>
      <c r="C81" s="79"/>
      <c r="D81" s="79"/>
      <c r="G81" s="80"/>
      <c r="H81" s="80"/>
      <c r="J81" s="81"/>
      <c r="K81" s="81"/>
    </row>
    <row r="82" ht="15.75" customHeight="1">
      <c r="A82" s="76"/>
      <c r="C82" s="79"/>
      <c r="D82" s="79"/>
      <c r="G82" s="80"/>
      <c r="H82" s="80"/>
      <c r="J82" s="81"/>
      <c r="K82" s="81"/>
    </row>
    <row r="83" ht="15.75" customHeight="1">
      <c r="A83" s="76"/>
      <c r="C83" s="79"/>
      <c r="D83" s="79"/>
      <c r="G83" s="80"/>
      <c r="H83" s="80"/>
      <c r="J83" s="81"/>
      <c r="K83" s="81"/>
    </row>
    <row r="84" ht="15.75" customHeight="1">
      <c r="A84" s="76"/>
      <c r="C84" s="79"/>
      <c r="D84" s="79"/>
      <c r="G84" s="80"/>
      <c r="H84" s="80"/>
      <c r="J84" s="81"/>
      <c r="K84" s="81"/>
    </row>
    <row r="85" ht="15.75" customHeight="1">
      <c r="A85" s="76"/>
      <c r="C85" s="79"/>
      <c r="D85" s="79"/>
      <c r="G85" s="80"/>
      <c r="H85" s="80"/>
      <c r="J85" s="81"/>
      <c r="K85" s="81"/>
    </row>
    <row r="86" ht="15.75" customHeight="1">
      <c r="A86" s="76"/>
      <c r="C86" s="79"/>
      <c r="D86" s="79"/>
      <c r="G86" s="80"/>
      <c r="H86" s="80"/>
      <c r="J86" s="81"/>
      <c r="K86" s="81"/>
    </row>
    <row r="87" ht="15.75" customHeight="1">
      <c r="A87" s="76"/>
      <c r="C87" s="79"/>
      <c r="D87" s="79"/>
      <c r="G87" s="80"/>
      <c r="H87" s="80"/>
      <c r="J87" s="81"/>
      <c r="K87" s="81"/>
    </row>
    <row r="88" ht="15.75" customHeight="1">
      <c r="A88" s="76"/>
      <c r="C88" s="79"/>
      <c r="D88" s="79"/>
      <c r="G88" s="80"/>
      <c r="H88" s="80"/>
      <c r="J88" s="81"/>
      <c r="K88" s="81"/>
    </row>
    <row r="89" ht="15.75" customHeight="1">
      <c r="A89" s="76"/>
      <c r="C89" s="79"/>
      <c r="D89" s="79"/>
      <c r="G89" s="80"/>
      <c r="H89" s="80"/>
      <c r="J89" s="81"/>
      <c r="K89" s="81"/>
    </row>
    <row r="90" ht="15.75" customHeight="1">
      <c r="A90" s="76"/>
      <c r="C90" s="79"/>
      <c r="D90" s="79"/>
      <c r="G90" s="80"/>
      <c r="H90" s="80"/>
      <c r="J90" s="81"/>
      <c r="K90" s="81"/>
    </row>
    <row r="91" ht="15.75" customHeight="1">
      <c r="A91" s="76"/>
      <c r="C91" s="79"/>
      <c r="D91" s="79"/>
      <c r="G91" s="80"/>
      <c r="H91" s="80"/>
      <c r="J91" s="81"/>
      <c r="K91" s="81"/>
    </row>
    <row r="92" ht="15.75" customHeight="1">
      <c r="A92" s="76"/>
      <c r="C92" s="79"/>
      <c r="D92" s="79"/>
      <c r="G92" s="80"/>
      <c r="H92" s="80"/>
      <c r="J92" s="81"/>
      <c r="K92" s="81"/>
    </row>
    <row r="93" ht="15.75" customHeight="1">
      <c r="A93" s="76"/>
      <c r="C93" s="79"/>
      <c r="D93" s="79"/>
      <c r="G93" s="80"/>
      <c r="H93" s="80"/>
      <c r="J93" s="81"/>
      <c r="K93" s="81"/>
    </row>
    <row r="94" ht="15.75" customHeight="1">
      <c r="A94" s="76"/>
      <c r="C94" s="79"/>
      <c r="D94" s="79"/>
      <c r="G94" s="80"/>
      <c r="H94" s="80"/>
      <c r="J94" s="81"/>
      <c r="K94" s="81"/>
    </row>
    <row r="95" ht="15.75" customHeight="1">
      <c r="A95" s="76"/>
      <c r="C95" s="79"/>
      <c r="D95" s="79"/>
      <c r="G95" s="80"/>
      <c r="H95" s="80"/>
      <c r="J95" s="81"/>
      <c r="K95" s="81"/>
    </row>
    <row r="96" ht="15.75" customHeight="1">
      <c r="A96" s="2" t="s">
        <v>105</v>
      </c>
      <c r="C96" s="76" t="s">
        <v>112</v>
      </c>
      <c r="D96" s="79"/>
      <c r="G96" s="80"/>
      <c r="H96" s="80"/>
      <c r="J96" s="81"/>
      <c r="K96" s="81"/>
    </row>
    <row r="97" ht="15.75" customHeight="1">
      <c r="A97" s="57">
        <f>Metric!K8</f>
        <v>6.772931212</v>
      </c>
      <c r="B97" s="76" t="s">
        <v>30</v>
      </c>
      <c r="C97" s="79"/>
      <c r="D97" s="79"/>
      <c r="G97" s="80"/>
      <c r="H97" s="80"/>
      <c r="J97" s="81"/>
      <c r="K97" s="81"/>
    </row>
    <row r="98" ht="15.75" customHeight="1">
      <c r="A98">
        <f>A2</f>
        <v>10</v>
      </c>
      <c r="B98" s="76" t="s">
        <v>44</v>
      </c>
      <c r="D98" s="79"/>
      <c r="G98" s="80"/>
      <c r="H98" s="80"/>
      <c r="J98" s="81"/>
      <c r="K98" s="81"/>
    </row>
    <row r="99" ht="15.75" customHeight="1">
      <c r="A99" s="76">
        <f t="shared" ref="A99:A175" si="4">A4</f>
        <v>4</v>
      </c>
      <c r="C99">
        <f>C180*A4*100/Metric!$C$31</f>
        <v>90.76317044</v>
      </c>
      <c r="D99" s="79"/>
      <c r="G99" s="80"/>
      <c r="H99" s="80"/>
      <c r="J99" s="81"/>
      <c r="K99" s="81"/>
    </row>
    <row r="100" ht="15.75" customHeight="1">
      <c r="A100" s="76">
        <f t="shared" si="4"/>
        <v>4.5</v>
      </c>
      <c r="C100">
        <f>C181*A5*100/Metric!$C$31</f>
        <v>82.57055345</v>
      </c>
      <c r="D100" s="79"/>
      <c r="G100" s="80"/>
      <c r="H100" s="80"/>
      <c r="J100" s="81"/>
      <c r="K100" s="81"/>
    </row>
    <row r="101" ht="15.75" customHeight="1">
      <c r="A101" s="76">
        <f t="shared" si="4"/>
        <v>5</v>
      </c>
      <c r="C101">
        <f>C182*A6*100/Metric!$C$31</f>
        <v>76.68935426</v>
      </c>
      <c r="D101" s="79"/>
      <c r="G101" s="80"/>
      <c r="H101" s="80"/>
      <c r="J101" s="81"/>
      <c r="K101" s="81"/>
    </row>
    <row r="102" ht="15.75" customHeight="1">
      <c r="A102" s="76">
        <f t="shared" si="4"/>
        <v>5.5</v>
      </c>
      <c r="C102">
        <f>C183*A7*100/Metric!$C$31</f>
        <v>72.63238197</v>
      </c>
      <c r="D102" s="79"/>
      <c r="G102" s="80"/>
      <c r="H102" s="80"/>
      <c r="J102" s="81"/>
      <c r="K102" s="81"/>
    </row>
    <row r="103" ht="15.75" customHeight="1">
      <c r="A103" s="76">
        <f t="shared" si="4"/>
        <v>6</v>
      </c>
      <c r="C103">
        <f>C184*A8*100/Metric!$C$31</f>
        <v>70.08865976</v>
      </c>
      <c r="D103" s="79"/>
      <c r="G103" s="80"/>
      <c r="H103" s="80"/>
      <c r="J103" s="81"/>
      <c r="K103" s="81"/>
    </row>
    <row r="104" ht="15.75" customHeight="1">
      <c r="A104" s="76">
        <f t="shared" si="4"/>
        <v>6.5</v>
      </c>
      <c r="C104">
        <f>C185*A9*100/Metric!$C$31</f>
        <v>68.85565025</v>
      </c>
      <c r="D104" s="79"/>
      <c r="G104" s="80"/>
      <c r="H104" s="80"/>
      <c r="J104" s="81"/>
      <c r="K104" s="81"/>
    </row>
    <row r="105" ht="15.75" customHeight="1">
      <c r="A105" s="76">
        <f t="shared" si="4"/>
        <v>7</v>
      </c>
      <c r="C105">
        <f>C186*A10*100/Metric!$C$31</f>
        <v>68.80052716</v>
      </c>
      <c r="D105" s="79"/>
      <c r="G105" s="80"/>
      <c r="H105" s="80"/>
      <c r="J105" s="81"/>
      <c r="K105" s="81"/>
    </row>
    <row r="106" ht="15.75" customHeight="1">
      <c r="A106" s="76">
        <f t="shared" si="4"/>
        <v>7.5</v>
      </c>
      <c r="C106">
        <f>C187*A11*100/Metric!$C$31</f>
        <v>69.83693825</v>
      </c>
      <c r="D106" s="79"/>
      <c r="G106" s="80"/>
      <c r="H106" s="80"/>
      <c r="J106" s="81"/>
      <c r="K106" s="81"/>
    </row>
    <row r="107" ht="15.75" customHeight="1">
      <c r="A107" s="76">
        <f t="shared" si="4"/>
        <v>8</v>
      </c>
      <c r="C107">
        <f>C188*A12*100/Metric!$C$31</f>
        <v>71.91048219</v>
      </c>
      <c r="D107" s="79"/>
      <c r="G107" s="80"/>
      <c r="H107" s="80"/>
      <c r="J107" s="81"/>
      <c r="K107" s="81"/>
    </row>
    <row r="108" ht="15.75" customHeight="1">
      <c r="A108" s="76">
        <f t="shared" si="4"/>
        <v>8.5</v>
      </c>
      <c r="C108">
        <f>C189*A13*100/Metric!$C$31</f>
        <v>74.98931124</v>
      </c>
      <c r="D108" s="79"/>
      <c r="G108" s="80"/>
      <c r="H108" s="80"/>
      <c r="J108" s="81"/>
      <c r="K108" s="81"/>
    </row>
    <row r="109" ht="15.75" customHeight="1">
      <c r="A109" s="76">
        <f t="shared" si="4"/>
        <v>9</v>
      </c>
      <c r="C109">
        <f>C190*A14*100/Metric!$C$31</f>
        <v>79.05786635</v>
      </c>
      <c r="D109" s="79"/>
      <c r="G109" s="80"/>
      <c r="H109" s="80"/>
      <c r="J109" s="81"/>
      <c r="K109" s="81"/>
    </row>
    <row r="110" ht="15.75" customHeight="1">
      <c r="A110" s="76">
        <f t="shared" si="4"/>
        <v>9.5</v>
      </c>
      <c r="C110">
        <f>C191*A15*100/Metric!$C$31</f>
        <v>84.11259068</v>
      </c>
      <c r="D110" s="79"/>
      <c r="G110" s="80"/>
      <c r="H110" s="80"/>
      <c r="J110" s="81"/>
      <c r="K110" s="81"/>
    </row>
    <row r="111" ht="15.75" customHeight="1">
      <c r="A111" s="76">
        <f t="shared" si="4"/>
        <v>10</v>
      </c>
      <c r="C111">
        <f>C192*A16*100/Metric!$C$31</f>
        <v>90.15892903</v>
      </c>
      <c r="D111" s="79"/>
      <c r="G111" s="80"/>
      <c r="H111" s="80"/>
      <c r="J111" s="81"/>
      <c r="K111" s="81"/>
    </row>
    <row r="112" ht="15.75" customHeight="1">
      <c r="A112" s="76">
        <f t="shared" si="4"/>
        <v>10.5</v>
      </c>
      <c r="C112">
        <f>C193*A17*100/Metric!$C$31</f>
        <v>97.20918459</v>
      </c>
      <c r="D112" s="79"/>
      <c r="G112" s="80"/>
      <c r="H112" s="80"/>
      <c r="J112" s="81"/>
      <c r="K112" s="81"/>
    </row>
    <row r="113" ht="15.75" customHeight="1">
      <c r="A113" s="76">
        <f t="shared" si="4"/>
        <v>11</v>
      </c>
      <c r="C113">
        <f>C194*A18*100/Metric!$C$31</f>
        <v>105.2809603</v>
      </c>
      <c r="D113" s="79"/>
      <c r="G113" s="80"/>
      <c r="H113" s="80"/>
      <c r="J113" s="81"/>
      <c r="K113" s="81"/>
    </row>
    <row r="114" ht="15.75" customHeight="1">
      <c r="A114" s="76">
        <f t="shared" si="4"/>
        <v>11.5</v>
      </c>
      <c r="C114">
        <f>C195*A19*100/Metric!$C$31</f>
        <v>114.3960065</v>
      </c>
      <c r="D114" s="79"/>
      <c r="G114" s="80"/>
      <c r="H114" s="80"/>
      <c r="J114" s="81"/>
      <c r="K114" s="81"/>
    </row>
    <row r="115" ht="15.75" customHeight="1">
      <c r="A115" s="76">
        <f t="shared" si="4"/>
        <v>12</v>
      </c>
      <c r="C115">
        <f>C196*A20*100/Metric!$C$31</f>
        <v>124.5793572</v>
      </c>
      <c r="D115" s="79"/>
      <c r="G115" s="80"/>
      <c r="H115" s="80"/>
      <c r="J115" s="81"/>
      <c r="K115" s="81"/>
    </row>
    <row r="116" ht="15.75" customHeight="1">
      <c r="A116" s="76">
        <f t="shared" si="4"/>
        <v>12.5</v>
      </c>
      <c r="C116">
        <f>C197*A21*100/Metric!$C$31</f>
        <v>135.8586731</v>
      </c>
      <c r="D116" s="79"/>
      <c r="G116" s="80"/>
      <c r="H116" s="80"/>
      <c r="J116" s="81"/>
      <c r="K116" s="81"/>
    </row>
    <row r="117" ht="15.75" customHeight="1">
      <c r="A117" s="76">
        <f t="shared" si="4"/>
        <v>13</v>
      </c>
      <c r="C117">
        <f>C198*A22*100/Metric!$C$31</f>
        <v>148.2637365</v>
      </c>
      <c r="D117" s="79"/>
      <c r="G117" s="80"/>
      <c r="H117" s="80"/>
      <c r="J117" s="81"/>
      <c r="K117" s="81"/>
    </row>
    <row r="118" ht="15.75" customHeight="1">
      <c r="A118" s="76">
        <f t="shared" si="4"/>
        <v>13.5</v>
      </c>
      <c r="C118">
        <f>C199*A23*100/Metric!$C$31</f>
        <v>161.8260587</v>
      </c>
      <c r="D118" s="79"/>
      <c r="G118" s="80"/>
      <c r="H118" s="80"/>
      <c r="J118" s="81"/>
      <c r="K118" s="81"/>
    </row>
    <row r="119" ht="15.75" customHeight="1">
      <c r="A119" s="76">
        <f t="shared" si="4"/>
        <v>14</v>
      </c>
      <c r="C119">
        <f>C200*A24*100/Metric!$C$31</f>
        <v>176.5785708</v>
      </c>
      <c r="D119" s="79"/>
      <c r="G119" s="80"/>
      <c r="H119" s="80"/>
      <c r="J119" s="81"/>
      <c r="K119" s="81"/>
    </row>
    <row r="120" ht="15.75" customHeight="1">
      <c r="A120" s="76">
        <f t="shared" si="4"/>
        <v>14.5</v>
      </c>
      <c r="C120">
        <f>C201*A25*100/Metric!$C$31</f>
        <v>192.5553791</v>
      </c>
      <c r="D120" s="79"/>
      <c r="G120" s="80"/>
      <c r="H120" s="80"/>
      <c r="J120" s="81"/>
      <c r="K120" s="81"/>
    </row>
    <row r="121" ht="15.75" customHeight="1">
      <c r="A121" s="76">
        <f t="shared" si="4"/>
        <v>15</v>
      </c>
      <c r="C121">
        <f>C202*A26*100/Metric!$C$31</f>
        <v>209.7915693</v>
      </c>
      <c r="D121" s="79"/>
      <c r="G121" s="80"/>
      <c r="H121" s="80"/>
      <c r="J121" s="81"/>
      <c r="K121" s="81"/>
    </row>
    <row r="122" ht="15.75" customHeight="1">
      <c r="A122" s="76">
        <f t="shared" si="4"/>
        <v>15.5</v>
      </c>
      <c r="C122">
        <f>C203*A27*100/Metric!$C$31</f>
        <v>228.3230485</v>
      </c>
      <c r="D122" s="79"/>
      <c r="G122" s="80"/>
      <c r="H122" s="80"/>
      <c r="J122" s="81"/>
      <c r="K122" s="81"/>
    </row>
    <row r="123" ht="15.75" customHeight="1">
      <c r="A123" s="76">
        <f t="shared" si="4"/>
        <v>16</v>
      </c>
      <c r="C123">
        <f>C204*A28*100/Metric!$C$31</f>
        <v>248.1864169</v>
      </c>
      <c r="D123" s="79"/>
      <c r="G123" s="80"/>
      <c r="H123" s="80"/>
      <c r="J123" s="81"/>
      <c r="K123" s="81"/>
    </row>
    <row r="124" ht="15.75" customHeight="1">
      <c r="A124" s="76">
        <f t="shared" si="4"/>
        <v>16.5</v>
      </c>
      <c r="C124">
        <f>C205*A29*100/Metric!$C$31</f>
        <v>269.4188625</v>
      </c>
      <c r="D124" s="79"/>
      <c r="G124" s="80"/>
      <c r="H124" s="80"/>
      <c r="J124" s="81"/>
      <c r="K124" s="81"/>
    </row>
    <row r="125" ht="15.75" customHeight="1">
      <c r="A125" s="76">
        <f t="shared" si="4"/>
        <v>17</v>
      </c>
      <c r="C125">
        <f>C206*A30*100/Metric!$C$31</f>
        <v>292.0580752</v>
      </c>
      <c r="D125" s="79"/>
      <c r="G125" s="80"/>
      <c r="H125" s="80"/>
      <c r="J125" s="81"/>
      <c r="K125" s="81"/>
    </row>
    <row r="126" ht="15.75" customHeight="1">
      <c r="A126" s="76">
        <f t="shared" si="4"/>
        <v>17.5</v>
      </c>
      <c r="C126">
        <f>C207*A31*100/Metric!$C$31</f>
        <v>316.1421745</v>
      </c>
      <c r="D126" s="79"/>
      <c r="G126" s="80"/>
      <c r="H126" s="80"/>
      <c r="J126" s="81"/>
      <c r="K126" s="81"/>
    </row>
    <row r="127" ht="15.75" customHeight="1">
      <c r="A127" s="76">
        <f t="shared" si="4"/>
        <v>18</v>
      </c>
      <c r="C127">
        <f>C208*A32*100/Metric!$C$31</f>
        <v>341.7096502</v>
      </c>
      <c r="D127" s="79"/>
      <c r="G127" s="80"/>
      <c r="H127" s="80"/>
      <c r="J127" s="81"/>
      <c r="K127" s="81"/>
    </row>
    <row r="128" ht="15.75" customHeight="1">
      <c r="A128" s="76">
        <f t="shared" si="4"/>
        <v>18.5</v>
      </c>
      <c r="C128">
        <f>C209*A33*100/Metric!$C$31</f>
        <v>368.7993124</v>
      </c>
      <c r="D128" s="79"/>
      <c r="G128" s="80"/>
      <c r="H128" s="80"/>
      <c r="J128" s="81"/>
      <c r="K128" s="81"/>
    </row>
    <row r="129" ht="15.75" customHeight="1">
      <c r="A129" s="76">
        <f t="shared" si="4"/>
        <v>19</v>
      </c>
      <c r="C129">
        <f>C210*A34*100/Metric!$C$31</f>
        <v>397.4502491</v>
      </c>
      <c r="D129" s="79"/>
      <c r="G129" s="80"/>
      <c r="H129" s="80"/>
      <c r="J129" s="81"/>
      <c r="K129" s="81"/>
    </row>
    <row r="130" ht="15.75" customHeight="1">
      <c r="A130" s="76">
        <f t="shared" si="4"/>
        <v>19.5</v>
      </c>
      <c r="C130">
        <f>C211*A35*100/Metric!$C$31</f>
        <v>427.7017907</v>
      </c>
      <c r="D130" s="79"/>
      <c r="G130" s="80"/>
      <c r="H130" s="80"/>
      <c r="J130" s="81"/>
      <c r="K130" s="81"/>
    </row>
    <row r="131" ht="15.75" customHeight="1">
      <c r="A131" s="76">
        <f t="shared" si="4"/>
        <v>20</v>
      </c>
      <c r="C131">
        <f>C212*A36*100/Metric!$C$31</f>
        <v>459.5934797</v>
      </c>
      <c r="D131" s="79"/>
      <c r="G131" s="80"/>
      <c r="H131" s="80"/>
      <c r="J131" s="81"/>
      <c r="K131" s="81"/>
    </row>
    <row r="132" ht="15.75" customHeight="1">
      <c r="A132" s="76">
        <f t="shared" si="4"/>
        <v>20.5</v>
      </c>
      <c r="C132">
        <f>C213*A37*100/Metric!$C$31</f>
        <v>493.1650449</v>
      </c>
      <c r="D132" s="79"/>
      <c r="G132" s="80"/>
      <c r="H132" s="80"/>
      <c r="J132" s="81"/>
      <c r="K132" s="81"/>
    </row>
    <row r="133" ht="15.75" customHeight="1">
      <c r="A133" s="76">
        <f t="shared" si="4"/>
        <v>21</v>
      </c>
      <c r="C133">
        <f>C214*A38*100/Metric!$C$31</f>
        <v>528.4563791</v>
      </c>
      <c r="D133" s="79"/>
      <c r="G133" s="80"/>
      <c r="H133" s="80"/>
      <c r="J133" s="81"/>
      <c r="K133" s="81"/>
    </row>
    <row r="134" ht="15.75" customHeight="1">
      <c r="A134" s="76">
        <f t="shared" si="4"/>
        <v>21.5</v>
      </c>
      <c r="C134">
        <f>C215*A39*100/Metric!$C$31</f>
        <v>565.5075201</v>
      </c>
      <c r="D134" s="79"/>
      <c r="G134" s="80"/>
      <c r="H134" s="80"/>
      <c r="J134" s="81"/>
      <c r="K134" s="81"/>
    </row>
    <row r="135" ht="15.75" customHeight="1">
      <c r="A135" s="76">
        <f t="shared" si="4"/>
        <v>22</v>
      </c>
      <c r="C135">
        <f>C216*A40*100/Metric!$C$31</f>
        <v>604.3586343</v>
      </c>
      <c r="D135" s="79"/>
      <c r="G135" s="80"/>
      <c r="H135" s="80"/>
      <c r="J135" s="81"/>
      <c r="K135" s="81"/>
    </row>
    <row r="136" ht="15.75" customHeight="1">
      <c r="A136" s="76">
        <f t="shared" si="4"/>
        <v>22.5</v>
      </c>
      <c r="C136">
        <f>C217*A41*100/Metric!$C$31</f>
        <v>645.0500021</v>
      </c>
      <c r="D136" s="79"/>
      <c r="G136" s="80"/>
      <c r="H136" s="80"/>
      <c r="J136" s="81"/>
      <c r="K136" s="81"/>
    </row>
    <row r="137" ht="15.75" customHeight="1">
      <c r="A137" s="76">
        <f t="shared" si="4"/>
        <v>23</v>
      </c>
      <c r="C137">
        <f>C218*A42*100/Metric!$C$31</f>
        <v>687.622006</v>
      </c>
      <c r="D137" s="79"/>
      <c r="G137" s="80"/>
      <c r="H137" s="80"/>
      <c r="J137" s="81"/>
      <c r="K137" s="81"/>
    </row>
    <row r="138" ht="15.75" customHeight="1">
      <c r="A138" s="76">
        <f t="shared" si="4"/>
        <v>23.5</v>
      </c>
      <c r="C138">
        <f>C219*A43*100/Metric!$C$31</f>
        <v>732.1151193</v>
      </c>
      <c r="D138" s="79"/>
      <c r="G138" s="80"/>
      <c r="H138" s="80"/>
      <c r="J138" s="81"/>
      <c r="K138" s="81"/>
    </row>
    <row r="139" ht="15.75" customHeight="1">
      <c r="A139" s="76">
        <f t="shared" si="4"/>
        <v>24</v>
      </c>
      <c r="C139">
        <f>C220*A44*100/Metric!$C$31</f>
        <v>778.5698968</v>
      </c>
      <c r="D139" s="79"/>
      <c r="G139" s="80"/>
      <c r="H139" s="80"/>
      <c r="J139" s="81"/>
      <c r="K139" s="81"/>
    </row>
    <row r="140" ht="15.75" customHeight="1">
      <c r="A140" s="76">
        <f t="shared" si="4"/>
        <v>24.5</v>
      </c>
      <c r="C140">
        <f>C221*A45*100/Metric!$C$31</f>
        <v>827.0269665</v>
      </c>
      <c r="D140" s="79"/>
      <c r="G140" s="80"/>
      <c r="H140" s="80"/>
      <c r="J140" s="81"/>
      <c r="K140" s="81"/>
    </row>
    <row r="141" ht="15.75" customHeight="1">
      <c r="A141" s="76">
        <f t="shared" si="4"/>
        <v>25</v>
      </c>
      <c r="C141">
        <f>C222*A46*100/Metric!$C$31</f>
        <v>877.5270224</v>
      </c>
      <c r="D141" s="79"/>
      <c r="G141" s="80"/>
      <c r="H141" s="80"/>
      <c r="J141" s="81"/>
      <c r="K141" s="81"/>
    </row>
    <row r="142" ht="15.75" customHeight="1">
      <c r="A142" s="76">
        <f t="shared" si="4"/>
        <v>25.5</v>
      </c>
      <c r="C142">
        <f>C223*A47*100/Metric!$C$31</f>
        <v>930.1108177</v>
      </c>
      <c r="D142" s="79"/>
      <c r="G142" s="80"/>
      <c r="H142" s="80"/>
      <c r="J142" s="81"/>
      <c r="K142" s="81"/>
    </row>
    <row r="143" ht="15.75" customHeight="1">
      <c r="A143" s="76">
        <f t="shared" si="4"/>
        <v>26</v>
      </c>
      <c r="C143">
        <f>C224*A48*100/Metric!$C$31</f>
        <v>984.8191596</v>
      </c>
      <c r="D143" s="79"/>
      <c r="G143" s="80"/>
      <c r="H143" s="80"/>
      <c r="J143" s="81"/>
      <c r="K143" s="81"/>
    </row>
    <row r="144" ht="15.75" customHeight="1">
      <c r="A144" s="76">
        <f t="shared" si="4"/>
        <v>26.5</v>
      </c>
      <c r="C144">
        <f>C225*A49*100/Metric!$C$31</f>
        <v>1041.692904</v>
      </c>
      <c r="D144" s="79"/>
      <c r="G144" s="80"/>
      <c r="H144" s="80"/>
      <c r="J144" s="81"/>
      <c r="K144" s="81"/>
    </row>
    <row r="145" ht="15.75" customHeight="1">
      <c r="A145" s="76">
        <f t="shared" si="4"/>
        <v>27</v>
      </c>
      <c r="C145">
        <f>C226*A50*100/Metric!$C$31</f>
        <v>1100.772949</v>
      </c>
      <c r="D145" s="79"/>
      <c r="G145" s="80"/>
      <c r="H145" s="80"/>
      <c r="J145" s="81"/>
      <c r="K145" s="81"/>
    </row>
    <row r="146" ht="15.75" customHeight="1">
      <c r="A146" s="76">
        <f t="shared" si="4"/>
        <v>27.5</v>
      </c>
      <c r="C146">
        <f>C227*A51*100/Metric!$C$31</f>
        <v>1162.100237</v>
      </c>
      <c r="D146" s="84"/>
    </row>
    <row r="147" ht="15.75" customHeight="1">
      <c r="A147" s="76">
        <f t="shared" si="4"/>
        <v>28</v>
      </c>
      <c r="C147">
        <f>C228*A52*100/Metric!$C$31</f>
        <v>1225.715743</v>
      </c>
      <c r="D147" s="84"/>
    </row>
    <row r="148" ht="15.75" customHeight="1">
      <c r="A148" s="76">
        <f t="shared" si="4"/>
        <v>28.5</v>
      </c>
      <c r="C148">
        <f>C229*A53*100/Metric!$C$31</f>
        <v>1291.660477</v>
      </c>
      <c r="D148" s="84"/>
    </row>
    <row r="149" ht="15.75" customHeight="1">
      <c r="A149" s="76">
        <f t="shared" si="4"/>
        <v>29</v>
      </c>
      <c r="C149">
        <f>C230*A54*100/Metric!$C$31</f>
        <v>1359.975479</v>
      </c>
      <c r="D149" s="84"/>
    </row>
    <row r="150" ht="15.75" customHeight="1">
      <c r="A150" s="76">
        <f t="shared" si="4"/>
        <v>29.5</v>
      </c>
      <c r="C150">
        <f>C231*A55*100/Metric!$C$31</f>
        <v>1430.701817</v>
      </c>
      <c r="D150" s="84"/>
    </row>
    <row r="151" ht="15.75" customHeight="1">
      <c r="A151" s="76">
        <f t="shared" si="4"/>
        <v>30</v>
      </c>
      <c r="C151">
        <f>C232*A56*100/Metric!$C$31</f>
        <v>1503.880586</v>
      </c>
      <c r="D151" s="84"/>
    </row>
    <row r="152" ht="15.75" customHeight="1">
      <c r="A152" s="76">
        <f t="shared" si="4"/>
        <v>30.5</v>
      </c>
      <c r="C152">
        <f>C233*A57*100/Metric!$C$31</f>
        <v>1579.552901</v>
      </c>
      <c r="D152" s="84"/>
    </row>
    <row r="153" ht="15.75" customHeight="1">
      <c r="A153" s="76">
        <f t="shared" si="4"/>
        <v>31</v>
      </c>
      <c r="C153">
        <f>C234*A58*100/Metric!$C$31</f>
        <v>1657.759902</v>
      </c>
      <c r="D153" s="84"/>
    </row>
    <row r="154" ht="15.75" customHeight="1">
      <c r="A154" s="76">
        <f t="shared" si="4"/>
        <v>31.5</v>
      </c>
      <c r="C154">
        <f>C235*A59*100/Metric!$C$31</f>
        <v>1738.542748</v>
      </c>
      <c r="D154" s="84"/>
    </row>
    <row r="155" ht="15.75" customHeight="1">
      <c r="A155" s="76">
        <f t="shared" si="4"/>
        <v>32</v>
      </c>
      <c r="C155">
        <f>C236*A60*100/Metric!$C$31</f>
        <v>1821.942614</v>
      </c>
      <c r="D155" s="84"/>
    </row>
    <row r="156" ht="15.75" customHeight="1">
      <c r="A156" s="76">
        <f t="shared" si="4"/>
        <v>32.5</v>
      </c>
      <c r="C156">
        <f>C237*A61*100/Metric!$C$31</f>
        <v>1908.000696</v>
      </c>
      <c r="D156" s="84"/>
    </row>
    <row r="157" ht="15.75" customHeight="1">
      <c r="A157" s="76">
        <f t="shared" si="4"/>
        <v>33</v>
      </c>
      <c r="C157">
        <f>C238*A62*100/Metric!$C$31</f>
        <v>1996.758202</v>
      </c>
      <c r="D157" s="84"/>
    </row>
    <row r="158" ht="15.75" customHeight="1">
      <c r="A158" s="76">
        <f t="shared" si="4"/>
        <v>33.5</v>
      </c>
      <c r="C158">
        <f>C239*A63*100/Metric!$C$31</f>
        <v>2088.256355</v>
      </c>
      <c r="D158" s="84"/>
    </row>
    <row r="159" ht="15.75" customHeight="1">
      <c r="A159" s="76">
        <f t="shared" si="4"/>
        <v>34</v>
      </c>
      <c r="C159">
        <f>C240*A64*100/Metric!$C$31</f>
        <v>2182.536394</v>
      </c>
      <c r="D159" s="84"/>
    </row>
    <row r="160" ht="15.75" customHeight="1">
      <c r="A160" s="76">
        <f t="shared" si="4"/>
        <v>34.5</v>
      </c>
      <c r="C160">
        <f>C241*A65*100/Metric!$C$31</f>
        <v>2279.639568</v>
      </c>
      <c r="D160" s="84"/>
    </row>
    <row r="161" ht="15.75" customHeight="1">
      <c r="A161" s="76">
        <f t="shared" si="4"/>
        <v>35</v>
      </c>
      <c r="C161">
        <f>C242*A66*100/Metric!$C$31</f>
        <v>2379.607137</v>
      </c>
      <c r="D161" s="84"/>
    </row>
    <row r="162" ht="15.75" customHeight="1">
      <c r="A162" s="76">
        <f t="shared" si="4"/>
        <v>35.5</v>
      </c>
      <c r="C162">
        <f>C243*A67*100/Metric!$C$31</f>
        <v>2482.480375</v>
      </c>
      <c r="D162" s="84"/>
    </row>
    <row r="163" ht="15.75" customHeight="1">
      <c r="A163" s="76">
        <f t="shared" si="4"/>
        <v>36</v>
      </c>
      <c r="C163">
        <f>C244*A68*100/Metric!$C$31</f>
        <v>2588.300561</v>
      </c>
      <c r="D163" s="84"/>
    </row>
    <row r="164" ht="15.75" customHeight="1">
      <c r="A164" s="76">
        <f t="shared" si="4"/>
        <v>36.5</v>
      </c>
      <c r="C164">
        <f>C245*A69*100/Metric!$C$31</f>
        <v>2697.108989</v>
      </c>
      <c r="D164" s="84"/>
    </row>
    <row r="165" ht="15.75" customHeight="1">
      <c r="A165" s="76">
        <f t="shared" si="4"/>
        <v>37</v>
      </c>
      <c r="C165">
        <f>C246*A70*100/Metric!$C$31</f>
        <v>2808.946957</v>
      </c>
      <c r="D165" s="84"/>
    </row>
    <row r="166" ht="15.75" customHeight="1">
      <c r="A166" s="76">
        <f t="shared" si="4"/>
        <v>37.5</v>
      </c>
      <c r="C166">
        <f>C247*A71*100/Metric!$C$31</f>
        <v>2923.855774</v>
      </c>
      <c r="D166" s="84"/>
    </row>
    <row r="167" ht="15.75" customHeight="1">
      <c r="A167" s="76">
        <f t="shared" si="4"/>
        <v>38</v>
      </c>
      <c r="C167">
        <f>C248*A72*100/Metric!$C$31</f>
        <v>3041.876754</v>
      </c>
      <c r="D167" s="84"/>
    </row>
    <row r="168" ht="15.75" customHeight="1">
      <c r="A168" s="76">
        <f t="shared" si="4"/>
        <v>38.5</v>
      </c>
      <c r="C168">
        <f>C249*A73*100/Metric!$C$31</f>
        <v>3163.051221</v>
      </c>
      <c r="D168" s="84"/>
    </row>
    <row r="169" ht="15.75" customHeight="1">
      <c r="A169" s="76">
        <f t="shared" si="4"/>
        <v>39</v>
      </c>
      <c r="C169">
        <f>C250*A74*100/Metric!$C$31</f>
        <v>3287.420503</v>
      </c>
      <c r="D169" s="84"/>
    </row>
    <row r="170" ht="15.75" customHeight="1">
      <c r="A170" s="76">
        <f t="shared" si="4"/>
        <v>39.5</v>
      </c>
      <c r="C170">
        <f>C251*A75*100/Metric!$C$31</f>
        <v>3415.025936</v>
      </c>
      <c r="D170" s="84"/>
    </row>
    <row r="171" ht="15.75" customHeight="1">
      <c r="A171" s="76">
        <f t="shared" si="4"/>
        <v>40</v>
      </c>
      <c r="C171">
        <f>C252*A76*100/Metric!$C$31</f>
        <v>3545.908861</v>
      </c>
      <c r="D171" s="84"/>
    </row>
    <row r="172" ht="15.75" customHeight="1">
      <c r="A172" s="76">
        <f t="shared" si="4"/>
        <v>40.5</v>
      </c>
      <c r="C172">
        <f>C253*A77*100/Metric!$C$31</f>
        <v>3680.110624</v>
      </c>
      <c r="D172" s="84"/>
    </row>
    <row r="173" ht="15.75" customHeight="1">
      <c r="A173" s="76">
        <f t="shared" si="4"/>
        <v>41</v>
      </c>
      <c r="C173">
        <f>C254*A78*100/Metric!$C$31</f>
        <v>3817.672577</v>
      </c>
      <c r="D173" s="84"/>
    </row>
    <row r="174" ht="15.75" customHeight="1">
      <c r="A174" s="76">
        <f t="shared" si="4"/>
        <v>41.5</v>
      </c>
      <c r="C174">
        <f>C255*A79*100/Metric!$C$31</f>
        <v>3958.636077</v>
      </c>
      <c r="D174" s="84"/>
    </row>
    <row r="175" ht="15.75" customHeight="1">
      <c r="A175" s="76">
        <f t="shared" si="4"/>
        <v>42</v>
      </c>
      <c r="C175">
        <f>C256*A80*100/Metric!$C$31</f>
        <v>4103.042484</v>
      </c>
      <c r="D175" s="84"/>
    </row>
    <row r="176" ht="15.75" customHeight="1">
      <c r="D176" s="84"/>
    </row>
    <row r="177" ht="15.75" customHeight="1">
      <c r="A177" s="2" t="s">
        <v>105</v>
      </c>
      <c r="C177" s="76" t="s">
        <v>108</v>
      </c>
      <c r="D177" s="84"/>
    </row>
    <row r="178" ht="15.75" customHeight="1">
      <c r="A178" s="57">
        <f>Metric!K7</f>
        <v>8.91367876</v>
      </c>
      <c r="B178" s="76" t="s">
        <v>24</v>
      </c>
      <c r="D178" s="84"/>
    </row>
    <row r="179" ht="15.75" customHeight="1">
      <c r="A179">
        <f t="shared" ref="A179:A256" si="5">A98</f>
        <v>10</v>
      </c>
      <c r="B179" s="76" t="s">
        <v>113</v>
      </c>
      <c r="D179" s="84"/>
    </row>
    <row r="180" ht="15.75" customHeight="1">
      <c r="A180">
        <f t="shared" si="5"/>
        <v>4</v>
      </c>
      <c r="C180">
        <f>G4*0.5*Metric!$C$19*A4^2*Metric!$G$9</f>
        <v>9.076317044</v>
      </c>
      <c r="D180" s="84"/>
    </row>
    <row r="181" ht="15.75" customHeight="1">
      <c r="A181">
        <f t="shared" si="5"/>
        <v>4.5</v>
      </c>
      <c r="C181">
        <f>G5*0.5*Metric!$C$19*A5^2*Metric!$G$9</f>
        <v>7.339604751</v>
      </c>
      <c r="D181" s="84"/>
    </row>
    <row r="182" ht="15.75" customHeight="1">
      <c r="A182">
        <f t="shared" si="5"/>
        <v>5</v>
      </c>
      <c r="C182">
        <f>G6*0.5*Metric!$C$19*A6^2*Metric!$G$9</f>
        <v>6.135148341</v>
      </c>
      <c r="D182" s="84"/>
    </row>
    <row r="183" ht="15.75" customHeight="1">
      <c r="A183">
        <f t="shared" si="5"/>
        <v>5.5</v>
      </c>
      <c r="C183">
        <f>G7*0.5*Metric!$C$19*A7^2*Metric!$G$9</f>
        <v>5.282355053</v>
      </c>
      <c r="D183" s="84"/>
    </row>
    <row r="184" ht="15.75" customHeight="1">
      <c r="A184">
        <f t="shared" si="5"/>
        <v>6</v>
      </c>
      <c r="C184">
        <f>G8*0.5*Metric!$C$19*A8^2*Metric!$G$9</f>
        <v>4.672577317</v>
      </c>
      <c r="D184" s="84"/>
    </row>
    <row r="185" ht="15.75" customHeight="1">
      <c r="A185">
        <f t="shared" si="5"/>
        <v>6.5</v>
      </c>
      <c r="C185">
        <f>G9*0.5*Metric!$C$19*A9^2*Metric!$G$9</f>
        <v>4.237270785</v>
      </c>
      <c r="D185" s="84"/>
    </row>
    <row r="186" ht="15.75" customHeight="1">
      <c r="A186">
        <f t="shared" si="5"/>
        <v>7</v>
      </c>
      <c r="C186">
        <f>G10*0.5*Metric!$C$19*A10^2*Metric!$G$9</f>
        <v>3.931458695</v>
      </c>
      <c r="D186" s="84"/>
    </row>
    <row r="187" ht="15.75" customHeight="1">
      <c r="A187">
        <f t="shared" si="5"/>
        <v>7.5</v>
      </c>
      <c r="C187">
        <f>G11*0.5*Metric!$C$19*A11^2*Metric!$G$9</f>
        <v>3.724636707</v>
      </c>
      <c r="D187" s="84"/>
    </row>
    <row r="188" ht="15.75" customHeight="1">
      <c r="A188">
        <f t="shared" si="5"/>
        <v>8</v>
      </c>
      <c r="C188">
        <f>G12*0.5*Metric!$C$19*A12^2*Metric!$G$9</f>
        <v>3.59552411</v>
      </c>
      <c r="D188" s="84"/>
    </row>
    <row r="189" ht="15.75" customHeight="1">
      <c r="A189">
        <f t="shared" si="5"/>
        <v>8.5</v>
      </c>
      <c r="C189">
        <f>G13*0.5*Metric!$C$19*A13^2*Metric!$G$9</f>
        <v>3.528908764</v>
      </c>
      <c r="D189" s="84"/>
    </row>
    <row r="190" ht="15.75" customHeight="1">
      <c r="A190">
        <f t="shared" si="5"/>
        <v>9</v>
      </c>
      <c r="C190">
        <f>G14*0.5*Metric!$C$19*A14^2*Metric!$G$9</f>
        <v>3.513682949</v>
      </c>
      <c r="D190" s="84"/>
    </row>
    <row r="191" ht="15.75" customHeight="1">
      <c r="A191">
        <f t="shared" si="5"/>
        <v>9.5</v>
      </c>
      <c r="C191">
        <f>G15*0.5*Metric!$C$19*A15^2*Metric!$G$9</f>
        <v>3.541582765</v>
      </c>
      <c r="D191" s="84"/>
    </row>
    <row r="192" ht="15.75" customHeight="1">
      <c r="A192">
        <f t="shared" si="5"/>
        <v>10</v>
      </c>
      <c r="C192">
        <f>G16*0.5*Metric!$C$19*A16^2*Metric!$G$9</f>
        <v>3.606357161</v>
      </c>
      <c r="D192" s="84"/>
    </row>
    <row r="193" ht="15.75" customHeight="1">
      <c r="A193">
        <f t="shared" si="5"/>
        <v>10.5</v>
      </c>
      <c r="C193">
        <f>G17*0.5*Metric!$C$19*A17^2*Metric!$G$9</f>
        <v>3.703207032</v>
      </c>
      <c r="D193" s="84"/>
    </row>
    <row r="194" ht="15.75" customHeight="1">
      <c r="A194">
        <f t="shared" si="5"/>
        <v>11</v>
      </c>
      <c r="C194">
        <f>G18*0.5*Metric!$C$19*A18^2*Metric!$G$9</f>
        <v>3.828398555</v>
      </c>
      <c r="D194" s="84"/>
    </row>
    <row r="195" ht="15.75" customHeight="1">
      <c r="A195">
        <f t="shared" si="5"/>
        <v>11.5</v>
      </c>
      <c r="C195">
        <f>G19*0.5*Metric!$C$19*A19^2*Metric!$G$9</f>
        <v>3.978991529</v>
      </c>
      <c r="D195" s="84"/>
    </row>
    <row r="196" ht="15.75" customHeight="1">
      <c r="A196">
        <f t="shared" si="5"/>
        <v>12</v>
      </c>
      <c r="C196">
        <f>G20*0.5*Metric!$C$19*A20^2*Metric!$G$9</f>
        <v>4.152645238</v>
      </c>
      <c r="D196" s="84"/>
    </row>
    <row r="197" ht="15.75" customHeight="1">
      <c r="A197">
        <f t="shared" si="5"/>
        <v>12.5</v>
      </c>
      <c r="C197">
        <f>G21*0.5*Metric!$C$19*A21^2*Metric!$G$9</f>
        <v>4.347477538</v>
      </c>
      <c r="D197" s="84"/>
    </row>
    <row r="198" ht="15.75" customHeight="1">
      <c r="A198">
        <f t="shared" si="5"/>
        <v>13</v>
      </c>
      <c r="C198">
        <f>G22*0.5*Metric!$C$19*A22^2*Metric!$G$9</f>
        <v>4.561961124</v>
      </c>
      <c r="D198" s="84"/>
    </row>
    <row r="199" ht="15.75" customHeight="1">
      <c r="A199">
        <f t="shared" si="5"/>
        <v>13.5</v>
      </c>
      <c r="C199">
        <f>G23*0.5*Metric!$C$19*A23^2*Metric!$G$9</f>
        <v>4.794846184</v>
      </c>
      <c r="D199" s="84"/>
    </row>
    <row r="200" ht="15.75" customHeight="1">
      <c r="A200">
        <f t="shared" si="5"/>
        <v>14</v>
      </c>
      <c r="C200">
        <f>G24*0.5*Metric!$C$19*A24^2*Metric!$G$9</f>
        <v>5.045102022</v>
      </c>
      <c r="D200" s="84"/>
    </row>
    <row r="201" ht="15.75" customHeight="1">
      <c r="A201">
        <f t="shared" si="5"/>
        <v>14.5</v>
      </c>
      <c r="C201">
        <f>G25*0.5*Metric!$C$19*A25^2*Metric!$G$9</f>
        <v>5.311872526</v>
      </c>
      <c r="D201" s="84"/>
    </row>
    <row r="202" ht="15.75" customHeight="1">
      <c r="A202">
        <f t="shared" si="5"/>
        <v>15</v>
      </c>
      <c r="C202">
        <f>G26*0.5*Metric!$C$19*A26^2*Metric!$G$9</f>
        <v>5.594441847</v>
      </c>
      <c r="D202" s="84"/>
    </row>
    <row r="203" ht="15.75" customHeight="1">
      <c r="A203">
        <f t="shared" si="5"/>
        <v>15.5</v>
      </c>
      <c r="C203">
        <f>G27*0.5*Metric!$C$19*A27^2*Metric!$G$9</f>
        <v>5.892207703</v>
      </c>
      <c r="D203" s="84"/>
    </row>
    <row r="204" ht="15.75" customHeight="1">
      <c r="A204">
        <f t="shared" si="5"/>
        <v>16</v>
      </c>
      <c r="C204">
        <f>G28*0.5*Metric!$C$19*A28^2*Metric!$G$9</f>
        <v>6.204660421</v>
      </c>
      <c r="D204" s="84"/>
    </row>
    <row r="205" ht="15.75" customHeight="1">
      <c r="A205">
        <f t="shared" si="5"/>
        <v>16.5</v>
      </c>
      <c r="C205">
        <f>G29*0.5*Metric!$C$19*A29^2*Metric!$G$9</f>
        <v>6.531366364</v>
      </c>
      <c r="D205" s="84"/>
    </row>
    <row r="206" ht="15.75" customHeight="1">
      <c r="A206">
        <f t="shared" si="5"/>
        <v>17</v>
      </c>
      <c r="C206">
        <f>G30*0.5*Metric!$C$19*A30^2*Metric!$G$9</f>
        <v>6.87195471</v>
      </c>
      <c r="D206" s="84"/>
    </row>
    <row r="207" ht="15.75" customHeight="1">
      <c r="A207">
        <f t="shared" si="5"/>
        <v>17.5</v>
      </c>
      <c r="C207">
        <f>G31*0.5*Metric!$C$19*A31^2*Metric!$G$9</f>
        <v>7.226106845</v>
      </c>
      <c r="D207" s="84"/>
    </row>
    <row r="208" ht="15.75" customHeight="1">
      <c r="A208">
        <f t="shared" si="5"/>
        <v>18</v>
      </c>
      <c r="C208">
        <f>G32*0.5*Metric!$C$19*A32^2*Metric!$G$9</f>
        <v>7.593547783</v>
      </c>
      <c r="D208" s="84"/>
    </row>
    <row r="209" ht="15.75" customHeight="1">
      <c r="A209">
        <f t="shared" si="5"/>
        <v>18.5</v>
      </c>
      <c r="C209">
        <f>G33*0.5*Metric!$C$19*A33^2*Metric!$G$9</f>
        <v>7.974039187</v>
      </c>
      <c r="D209" s="84"/>
    </row>
    <row r="210" ht="15.75" customHeight="1">
      <c r="A210">
        <f t="shared" si="5"/>
        <v>19</v>
      </c>
      <c r="C210">
        <f>G34*0.5*Metric!$C$19*A34^2*Metric!$G$9</f>
        <v>8.367373665</v>
      </c>
      <c r="D210" s="84"/>
    </row>
    <row r="211" ht="15.75" customHeight="1">
      <c r="A211">
        <f t="shared" si="5"/>
        <v>19.5</v>
      </c>
      <c r="C211">
        <f>G35*0.5*Metric!$C$19*A35^2*Metric!$G$9</f>
        <v>8.773370065</v>
      </c>
      <c r="D211" s="84"/>
    </row>
    <row r="212" ht="15.75" customHeight="1">
      <c r="A212">
        <f t="shared" si="5"/>
        <v>20</v>
      </c>
      <c r="C212">
        <f>G36*0.5*Metric!$C$19*A36^2*Metric!$G$9</f>
        <v>9.191869593</v>
      </c>
      <c r="D212" s="84"/>
    </row>
    <row r="213" ht="15.75" customHeight="1">
      <c r="A213">
        <f t="shared" si="5"/>
        <v>20.5</v>
      </c>
      <c r="C213">
        <f>G37*0.5*Metric!$C$19*A37^2*Metric!$G$9</f>
        <v>9.622732583</v>
      </c>
      <c r="D213" s="84"/>
    </row>
    <row r="214" ht="15.75" customHeight="1">
      <c r="A214">
        <f t="shared" si="5"/>
        <v>21</v>
      </c>
      <c r="C214">
        <f>G38*0.5*Metric!$C$19*A38^2*Metric!$G$9</f>
        <v>10.06583579</v>
      </c>
      <c r="D214" s="84"/>
    </row>
    <row r="215" ht="15.75" customHeight="1">
      <c r="A215">
        <f t="shared" si="5"/>
        <v>21.5</v>
      </c>
      <c r="C215">
        <f>G39*0.5*Metric!$C$19*A39^2*Metric!$G$9</f>
        <v>10.52107014</v>
      </c>
      <c r="D215" s="84"/>
    </row>
    <row r="216" ht="15.75" customHeight="1">
      <c r="A216">
        <f t="shared" si="5"/>
        <v>22</v>
      </c>
      <c r="C216">
        <f>G40*0.5*Metric!$C$19*A40^2*Metric!$G$9</f>
        <v>10.98833881</v>
      </c>
      <c r="D216" s="84"/>
    </row>
    <row r="217" ht="15.75" customHeight="1">
      <c r="A217">
        <f t="shared" si="5"/>
        <v>22.5</v>
      </c>
      <c r="C217">
        <f>G41*0.5*Metric!$C$19*A41^2*Metric!$G$9</f>
        <v>11.46755559</v>
      </c>
      <c r="D217" s="84"/>
    </row>
    <row r="218" ht="15.75" customHeight="1">
      <c r="A218">
        <f t="shared" si="5"/>
        <v>23</v>
      </c>
      <c r="C218">
        <f>G42*0.5*Metric!$C$19*A42^2*Metric!$G$9</f>
        <v>11.95864358</v>
      </c>
      <c r="D218" s="84"/>
    </row>
    <row r="219" ht="15.75" customHeight="1">
      <c r="A219">
        <f t="shared" si="5"/>
        <v>23.5</v>
      </c>
      <c r="C219">
        <f>G43*0.5*Metric!$C$19*A43^2*Metric!$G$9</f>
        <v>12.46153395</v>
      </c>
      <c r="D219" s="84"/>
    </row>
    <row r="220" ht="15.75" customHeight="1">
      <c r="A220">
        <f t="shared" si="5"/>
        <v>24</v>
      </c>
      <c r="C220">
        <f>G44*0.5*Metric!$C$19*A44^2*Metric!$G$9</f>
        <v>12.97616495</v>
      </c>
      <c r="D220" s="84"/>
    </row>
    <row r="221" ht="15.75" customHeight="1">
      <c r="A221">
        <f t="shared" si="5"/>
        <v>24.5</v>
      </c>
      <c r="C221">
        <f>G45*0.5*Metric!$C$19*A45^2*Metric!$G$9</f>
        <v>13.50248109</v>
      </c>
      <c r="D221" s="84"/>
    </row>
    <row r="222" ht="15.75" customHeight="1">
      <c r="A222">
        <f t="shared" si="5"/>
        <v>25</v>
      </c>
      <c r="C222">
        <f>G46*0.5*Metric!$C$19*A46^2*Metric!$G$9</f>
        <v>14.04043236</v>
      </c>
      <c r="D222" s="84"/>
    </row>
    <row r="223" ht="15.75" customHeight="1">
      <c r="A223">
        <f t="shared" si="5"/>
        <v>25.5</v>
      </c>
      <c r="C223">
        <f>G47*0.5*Metric!$C$19*A47^2*Metric!$G$9</f>
        <v>14.58997361</v>
      </c>
      <c r="D223" s="84"/>
    </row>
    <row r="224" ht="15.75" customHeight="1">
      <c r="A224">
        <f t="shared" si="5"/>
        <v>26</v>
      </c>
      <c r="C224">
        <f>G48*0.5*Metric!$C$19*A48^2*Metric!$G$9</f>
        <v>15.15106399</v>
      </c>
      <c r="D224" s="84"/>
    </row>
    <row r="225" ht="15.75" customHeight="1">
      <c r="A225">
        <f t="shared" si="5"/>
        <v>26.5</v>
      </c>
      <c r="C225">
        <f>G49*0.5*Metric!$C$19*A49^2*Metric!$G$9</f>
        <v>15.72366647</v>
      </c>
      <c r="D225" s="84"/>
    </row>
    <row r="226" ht="15.75" customHeight="1">
      <c r="A226">
        <f t="shared" si="5"/>
        <v>27</v>
      </c>
      <c r="C226">
        <f>G50*0.5*Metric!$C$19*A50^2*Metric!$G$9</f>
        <v>16.3077474</v>
      </c>
      <c r="D226" s="84"/>
    </row>
    <row r="227" ht="15.75" customHeight="1">
      <c r="A227">
        <f t="shared" si="5"/>
        <v>27.5</v>
      </c>
      <c r="C227">
        <f>G51*0.5*Metric!$C$19*A51^2*Metric!$G$9</f>
        <v>16.90327618</v>
      </c>
      <c r="D227" s="84"/>
    </row>
    <row r="228" ht="15.75" customHeight="1">
      <c r="A228">
        <f t="shared" si="5"/>
        <v>28</v>
      </c>
      <c r="C228">
        <f>G52*0.5*Metric!$C$19*A52^2*Metric!$G$9</f>
        <v>17.5102249</v>
      </c>
      <c r="D228" s="84"/>
    </row>
    <row r="229" ht="15.75" customHeight="1">
      <c r="A229">
        <f t="shared" si="5"/>
        <v>28.5</v>
      </c>
      <c r="C229">
        <f>G53*0.5*Metric!$C$19*A53^2*Metric!$G$9</f>
        <v>18.1285681</v>
      </c>
      <c r="D229" s="84"/>
    </row>
    <row r="230" ht="15.75" customHeight="1">
      <c r="A230">
        <f t="shared" si="5"/>
        <v>29</v>
      </c>
      <c r="C230">
        <f>G54*0.5*Metric!$C$19*A54^2*Metric!$G$9</f>
        <v>18.75828247</v>
      </c>
      <c r="D230" s="84"/>
    </row>
    <row r="231" ht="15.75" customHeight="1">
      <c r="A231">
        <f t="shared" si="5"/>
        <v>29.5</v>
      </c>
      <c r="C231">
        <f>G55*0.5*Metric!$C$19*A55^2*Metric!$G$9</f>
        <v>19.39934668</v>
      </c>
      <c r="D231" s="84"/>
    </row>
    <row r="232" ht="15.75" customHeight="1">
      <c r="A232">
        <f t="shared" si="5"/>
        <v>30</v>
      </c>
      <c r="C232">
        <f>G56*0.5*Metric!$C$19*A56^2*Metric!$G$9</f>
        <v>20.05174114</v>
      </c>
      <c r="D232" s="84"/>
    </row>
    <row r="233" ht="15.75" customHeight="1">
      <c r="A233">
        <f t="shared" si="5"/>
        <v>30.5</v>
      </c>
      <c r="C233">
        <f>G57*0.5*Metric!$C$19*A57^2*Metric!$G$9</f>
        <v>20.71544788</v>
      </c>
      <c r="D233" s="84"/>
    </row>
    <row r="234" ht="15.75" customHeight="1">
      <c r="A234">
        <f t="shared" si="5"/>
        <v>31</v>
      </c>
      <c r="C234">
        <f>G58*0.5*Metric!$C$19*A58^2*Metric!$G$9</f>
        <v>21.39045035</v>
      </c>
      <c r="D234" s="84"/>
    </row>
    <row r="235" ht="15.75" customHeight="1">
      <c r="A235">
        <f t="shared" si="5"/>
        <v>31.5</v>
      </c>
      <c r="C235">
        <f>G59*0.5*Metric!$C$19*A59^2*Metric!$G$9</f>
        <v>22.07673331</v>
      </c>
      <c r="D235" s="84"/>
    </row>
    <row r="236" ht="15.75" customHeight="1">
      <c r="A236">
        <f t="shared" si="5"/>
        <v>32</v>
      </c>
      <c r="C236">
        <f>G60*0.5*Metric!$C$19*A60^2*Metric!$G$9</f>
        <v>22.77428268</v>
      </c>
      <c r="D236" s="84"/>
    </row>
    <row r="237" ht="15.75" customHeight="1">
      <c r="A237">
        <f t="shared" si="5"/>
        <v>32.5</v>
      </c>
      <c r="C237">
        <f>G61*0.5*Metric!$C$19*A61^2*Metric!$G$9</f>
        <v>23.48308549</v>
      </c>
      <c r="D237" s="84"/>
    </row>
    <row r="238" ht="15.75" customHeight="1">
      <c r="A238">
        <f t="shared" si="5"/>
        <v>33</v>
      </c>
      <c r="C238">
        <f>G62*0.5*Metric!$C$19*A62^2*Metric!$G$9</f>
        <v>24.20312972</v>
      </c>
      <c r="D238" s="84"/>
    </row>
    <row r="239" ht="15.75" customHeight="1">
      <c r="A239">
        <f t="shared" si="5"/>
        <v>33.5</v>
      </c>
      <c r="C239">
        <f>G63*0.5*Metric!$C$19*A63^2*Metric!$G$9</f>
        <v>24.93440424</v>
      </c>
      <c r="D239" s="84"/>
    </row>
    <row r="240" ht="15.75" customHeight="1">
      <c r="A240">
        <f t="shared" si="5"/>
        <v>34</v>
      </c>
      <c r="C240">
        <f>G64*0.5*Metric!$C$19*A64^2*Metric!$G$9</f>
        <v>25.67689875</v>
      </c>
      <c r="D240" s="84"/>
    </row>
    <row r="241" ht="15.75" customHeight="1">
      <c r="A241">
        <f t="shared" si="5"/>
        <v>34.5</v>
      </c>
      <c r="C241">
        <f>G65*0.5*Metric!$C$19*A65^2*Metric!$G$9</f>
        <v>26.43060368</v>
      </c>
      <c r="D241" s="84"/>
    </row>
    <row r="242" ht="15.75" customHeight="1">
      <c r="A242">
        <f t="shared" si="5"/>
        <v>35</v>
      </c>
      <c r="C242">
        <f>G66*0.5*Metric!$C$19*A66^2*Metric!$G$9</f>
        <v>27.19551014</v>
      </c>
      <c r="D242" s="84"/>
    </row>
    <row r="243" ht="15.75" customHeight="1">
      <c r="A243">
        <f t="shared" si="5"/>
        <v>35.5</v>
      </c>
      <c r="C243">
        <f>G67*0.5*Metric!$C$19*A67^2*Metric!$G$9</f>
        <v>27.97160985</v>
      </c>
      <c r="D243" s="84"/>
    </row>
    <row r="244" ht="15.75" customHeight="1">
      <c r="A244">
        <f t="shared" si="5"/>
        <v>36</v>
      </c>
      <c r="C244">
        <f>G68*0.5*Metric!$C$19*A68^2*Metric!$G$9</f>
        <v>28.75889513</v>
      </c>
      <c r="D244" s="84"/>
    </row>
    <row r="245" ht="15.75" customHeight="1">
      <c r="A245">
        <f t="shared" si="5"/>
        <v>36.5</v>
      </c>
      <c r="C245">
        <f>G69*0.5*Metric!$C$19*A69^2*Metric!$G$9</f>
        <v>29.55735879</v>
      </c>
      <c r="D245" s="84"/>
    </row>
    <row r="246" ht="15.75" customHeight="1">
      <c r="A246">
        <f t="shared" si="5"/>
        <v>37</v>
      </c>
      <c r="C246">
        <f>G70*0.5*Metric!$C$19*A70^2*Metric!$G$9</f>
        <v>30.36699413</v>
      </c>
      <c r="D246" s="84"/>
    </row>
    <row r="247" ht="15.75" customHeight="1">
      <c r="A247">
        <f t="shared" si="5"/>
        <v>37.5</v>
      </c>
      <c r="C247">
        <f>G71*0.5*Metric!$C$19*A71^2*Metric!$G$9</f>
        <v>31.18779492</v>
      </c>
      <c r="D247" s="84"/>
    </row>
    <row r="248" ht="15.75" customHeight="1">
      <c r="A248">
        <f t="shared" si="5"/>
        <v>38</v>
      </c>
      <c r="C248">
        <f>G72*0.5*Metric!$C$19*A72^2*Metric!$G$9</f>
        <v>32.01975531</v>
      </c>
      <c r="D248" s="84"/>
    </row>
    <row r="249" ht="15.75" customHeight="1">
      <c r="A249">
        <f t="shared" si="5"/>
        <v>38.5</v>
      </c>
      <c r="C249">
        <f>G73*0.5*Metric!$C$19*A73^2*Metric!$G$9</f>
        <v>32.86286983</v>
      </c>
      <c r="D249" s="84"/>
    </row>
    <row r="250" ht="15.75" customHeight="1">
      <c r="A250">
        <f t="shared" si="5"/>
        <v>39</v>
      </c>
      <c r="C250">
        <f>G74*0.5*Metric!$C$19*A74^2*Metric!$G$9</f>
        <v>33.71713337</v>
      </c>
      <c r="D250" s="84"/>
    </row>
    <row r="251" ht="15.75" customHeight="1">
      <c r="A251">
        <f t="shared" si="5"/>
        <v>39.5</v>
      </c>
      <c r="C251">
        <f>G75*0.5*Metric!$C$19*A75^2*Metric!$G$9</f>
        <v>34.58254113</v>
      </c>
      <c r="D251" s="84"/>
    </row>
    <row r="252" ht="15.75" customHeight="1">
      <c r="A252">
        <f t="shared" si="5"/>
        <v>40</v>
      </c>
      <c r="C252">
        <f>G76*0.5*Metric!$C$19*A76^2*Metric!$G$9</f>
        <v>35.45908861</v>
      </c>
      <c r="D252" s="84"/>
    </row>
    <row r="253" ht="15.75" customHeight="1">
      <c r="A253">
        <f t="shared" si="5"/>
        <v>40.5</v>
      </c>
      <c r="C253">
        <f>G77*0.5*Metric!$C$19*A77^2*Metric!$G$9</f>
        <v>36.3467716</v>
      </c>
      <c r="D253" s="84"/>
    </row>
    <row r="254" ht="15.75" customHeight="1">
      <c r="A254">
        <f t="shared" si="5"/>
        <v>41</v>
      </c>
      <c r="C254">
        <f>G78*0.5*Metric!$C$19*A78^2*Metric!$G$9</f>
        <v>37.24558612</v>
      </c>
      <c r="D254" s="84"/>
    </row>
    <row r="255" ht="15.75" customHeight="1">
      <c r="A255">
        <f t="shared" si="5"/>
        <v>41.5</v>
      </c>
      <c r="C255">
        <f>G79*0.5*Metric!$C$19*A79^2*Metric!$G$9</f>
        <v>38.15552845</v>
      </c>
      <c r="D255" s="84"/>
    </row>
    <row r="256" ht="15.75" customHeight="1">
      <c r="A256">
        <f t="shared" si="5"/>
        <v>42</v>
      </c>
      <c r="C256">
        <f>G80*0.5*Metric!$C$19*A80^2*Metric!$G$9</f>
        <v>39.07659508</v>
      </c>
      <c r="D256" s="84"/>
    </row>
    <row r="257" ht="15.75" customHeight="1">
      <c r="D257" s="84"/>
    </row>
    <row r="258" ht="15.75" customHeight="1">
      <c r="D258" s="84"/>
    </row>
    <row r="259" ht="15.75" customHeight="1">
      <c r="D259" s="84"/>
    </row>
    <row r="260" ht="15.75" customHeight="1">
      <c r="D260" s="84"/>
    </row>
    <row r="261" ht="15.75" customHeight="1">
      <c r="D261" s="84"/>
    </row>
    <row r="262" ht="15.75" customHeight="1">
      <c r="D262" s="84"/>
    </row>
    <row r="263" ht="15.75" customHeight="1">
      <c r="D263" s="84"/>
    </row>
    <row r="264" ht="15.75" customHeight="1">
      <c r="D264" s="84"/>
    </row>
    <row r="265" ht="15.75" customHeight="1">
      <c r="D265" s="84"/>
    </row>
    <row r="266" ht="15.75" customHeight="1">
      <c r="D266" s="84"/>
    </row>
    <row r="267" ht="15.75" customHeight="1">
      <c r="D267" s="84"/>
    </row>
    <row r="268" ht="15.75" customHeight="1">
      <c r="D268" s="84"/>
    </row>
    <row r="269" ht="15.75" customHeight="1">
      <c r="D269" s="84"/>
    </row>
    <row r="270" ht="15.75" customHeight="1">
      <c r="D270" s="84"/>
    </row>
    <row r="271" ht="15.75" customHeight="1">
      <c r="D271" s="84"/>
    </row>
    <row r="272" ht="15.75" customHeight="1">
      <c r="D272" s="84"/>
    </row>
    <row r="273" ht="15.75" customHeight="1">
      <c r="D273" s="84"/>
    </row>
    <row r="274" ht="15.75" customHeight="1">
      <c r="D274" s="84"/>
    </row>
    <row r="275" ht="15.75" customHeight="1">
      <c r="D275" s="84"/>
    </row>
    <row r="276" ht="15.75" customHeight="1">
      <c r="D276" s="84"/>
    </row>
    <row r="277" ht="15.75" customHeight="1">
      <c r="D277" s="84"/>
    </row>
    <row r="278" ht="15.75" customHeight="1">
      <c r="D278" s="84"/>
    </row>
    <row r="279" ht="15.75" customHeight="1">
      <c r="D279" s="84"/>
    </row>
    <row r="280" ht="15.75" customHeight="1">
      <c r="D280" s="84"/>
    </row>
    <row r="281" ht="15.75" customHeight="1">
      <c r="D281" s="84"/>
    </row>
    <row r="282" ht="15.75" customHeight="1">
      <c r="D282" s="84"/>
    </row>
    <row r="283" ht="15.75" customHeight="1">
      <c r="D283" s="84"/>
    </row>
    <row r="284" ht="15.75" customHeight="1">
      <c r="D284" s="84"/>
    </row>
    <row r="285" ht="15.75" customHeight="1">
      <c r="D285" s="84"/>
    </row>
    <row r="286" ht="15.75" customHeight="1">
      <c r="D286" s="84"/>
    </row>
    <row r="287" ht="15.75" customHeight="1">
      <c r="D287" s="84"/>
    </row>
    <row r="288" ht="15.75" customHeight="1">
      <c r="D288" s="84"/>
    </row>
    <row r="289" ht="15.75" customHeight="1">
      <c r="D289" s="84"/>
    </row>
    <row r="290" ht="15.75" customHeight="1">
      <c r="D290" s="84"/>
    </row>
    <row r="291" ht="15.75" customHeight="1">
      <c r="D291" s="84"/>
    </row>
    <row r="292" ht="15.75" customHeight="1">
      <c r="D292" s="84"/>
    </row>
    <row r="293" ht="15.75" customHeight="1">
      <c r="D293" s="84"/>
    </row>
    <row r="294" ht="15.75" customHeight="1">
      <c r="D294" s="84"/>
    </row>
    <row r="295" ht="15.75" customHeight="1">
      <c r="D295" s="84"/>
    </row>
    <row r="296" ht="15.75" customHeight="1">
      <c r="D296" s="84"/>
    </row>
    <row r="297" ht="15.75" customHeight="1">
      <c r="D297" s="84"/>
    </row>
    <row r="298" ht="15.75" customHeight="1">
      <c r="D298" s="84"/>
    </row>
    <row r="299" ht="15.75" customHeight="1">
      <c r="D299" s="84"/>
    </row>
    <row r="300" ht="15.75" customHeight="1">
      <c r="D300" s="84"/>
    </row>
    <row r="301" ht="15.75" customHeight="1">
      <c r="D301" s="84"/>
    </row>
    <row r="302" ht="15.75" customHeight="1">
      <c r="D302" s="84"/>
    </row>
    <row r="303" ht="15.75" customHeight="1">
      <c r="D303" s="84"/>
    </row>
    <row r="304" ht="15.75" customHeight="1">
      <c r="D304" s="84"/>
    </row>
    <row r="305" ht="15.75" customHeight="1">
      <c r="D305" s="84"/>
    </row>
    <row r="306" ht="15.75" customHeight="1">
      <c r="D306" s="84"/>
    </row>
    <row r="307" ht="15.75" customHeight="1">
      <c r="D307" s="84"/>
    </row>
    <row r="308" ht="15.75" customHeight="1">
      <c r="D308" s="84"/>
    </row>
    <row r="309" ht="15.75" customHeight="1">
      <c r="D309" s="84"/>
    </row>
    <row r="310" ht="15.75" customHeight="1">
      <c r="D310" s="84"/>
    </row>
    <row r="311" ht="15.75" customHeight="1">
      <c r="D311" s="84"/>
    </row>
    <row r="312" ht="15.75" customHeight="1">
      <c r="D312" s="84"/>
    </row>
    <row r="313" ht="15.75" customHeight="1">
      <c r="D313" s="84"/>
    </row>
    <row r="314" ht="15.75" customHeight="1">
      <c r="D314" s="84"/>
    </row>
    <row r="315" ht="15.75" customHeight="1">
      <c r="D315" s="84"/>
    </row>
    <row r="316" ht="15.75" customHeight="1">
      <c r="D316" s="84"/>
    </row>
    <row r="317" ht="15.75" customHeight="1">
      <c r="D317" s="84"/>
    </row>
    <row r="318" ht="15.75" customHeight="1">
      <c r="D318" s="84"/>
    </row>
    <row r="319" ht="15.75" customHeight="1">
      <c r="D319" s="84"/>
    </row>
    <row r="320" ht="15.75" customHeight="1">
      <c r="D320" s="84"/>
    </row>
    <row r="321" ht="15.75" customHeight="1">
      <c r="D321" s="84"/>
    </row>
    <row r="322" ht="15.75" customHeight="1">
      <c r="D322" s="84"/>
    </row>
    <row r="323" ht="15.75" customHeight="1">
      <c r="D323" s="84"/>
    </row>
    <row r="324" ht="15.75" customHeight="1">
      <c r="D324" s="84"/>
    </row>
    <row r="325" ht="15.75" customHeight="1">
      <c r="D325" s="84"/>
    </row>
    <row r="326" ht="15.75" customHeight="1">
      <c r="D326" s="84"/>
    </row>
    <row r="327" ht="15.75" customHeight="1">
      <c r="D327" s="84"/>
    </row>
    <row r="328" ht="15.75" customHeight="1">
      <c r="D328" s="84"/>
    </row>
    <row r="329" ht="15.75" customHeight="1">
      <c r="D329" s="84"/>
    </row>
    <row r="330" ht="15.75" customHeight="1">
      <c r="D330" s="84"/>
    </row>
    <row r="331" ht="15.75" customHeight="1">
      <c r="D331" s="84"/>
    </row>
    <row r="332" ht="15.75" customHeight="1">
      <c r="D332" s="84"/>
    </row>
    <row r="333" ht="15.75" customHeight="1">
      <c r="D333" s="84"/>
    </row>
    <row r="334" ht="15.75" customHeight="1">
      <c r="D334" s="84"/>
    </row>
    <row r="335" ht="15.75" customHeight="1">
      <c r="D335" s="84"/>
    </row>
    <row r="336" ht="15.75" customHeight="1">
      <c r="D336" s="84"/>
    </row>
    <row r="337" ht="15.75" customHeight="1">
      <c r="D337" s="84"/>
    </row>
    <row r="338" ht="15.75" customHeight="1">
      <c r="D338" s="84"/>
    </row>
    <row r="339" ht="15.75" customHeight="1">
      <c r="D339" s="84"/>
    </row>
    <row r="340" ht="15.75" customHeight="1">
      <c r="D340" s="84"/>
    </row>
    <row r="341" ht="15.75" customHeight="1">
      <c r="D341" s="84"/>
    </row>
    <row r="342" ht="15.75" customHeight="1">
      <c r="D342" s="84"/>
    </row>
    <row r="343" ht="15.75" customHeight="1">
      <c r="D343" s="84"/>
    </row>
    <row r="344" ht="15.75" customHeight="1">
      <c r="D344" s="84"/>
    </row>
    <row r="345" ht="15.75" customHeight="1">
      <c r="D345" s="84"/>
    </row>
    <row r="346" ht="15.75" customHeight="1">
      <c r="D346" s="84"/>
    </row>
    <row r="347" ht="15.75" customHeight="1">
      <c r="D347" s="84"/>
    </row>
    <row r="348" ht="15.75" customHeight="1">
      <c r="D348" s="84"/>
    </row>
    <row r="349" ht="15.75" customHeight="1">
      <c r="D349" s="84"/>
    </row>
    <row r="350" ht="15.75" customHeight="1">
      <c r="D350" s="84"/>
    </row>
    <row r="351" ht="15.75" customHeight="1">
      <c r="D351" s="84"/>
    </row>
    <row r="352" ht="15.75" customHeight="1">
      <c r="D352" s="84"/>
    </row>
    <row r="353" ht="15.75" customHeight="1">
      <c r="D353" s="84"/>
    </row>
    <row r="354" ht="15.75" customHeight="1">
      <c r="D354" s="84"/>
    </row>
    <row r="355" ht="15.75" customHeight="1">
      <c r="D355" s="84"/>
    </row>
    <row r="356" ht="15.75" customHeight="1">
      <c r="D356" s="84"/>
    </row>
    <row r="357" ht="15.75" customHeight="1">
      <c r="D357" s="84"/>
    </row>
    <row r="358" ht="15.75" customHeight="1">
      <c r="D358" s="84"/>
    </row>
    <row r="359" ht="15.75" customHeight="1">
      <c r="D359" s="84"/>
    </row>
    <row r="360" ht="15.75" customHeight="1">
      <c r="D360" s="84"/>
    </row>
    <row r="361" ht="15.75" customHeight="1">
      <c r="D361" s="84"/>
    </row>
    <row r="362" ht="15.75" customHeight="1">
      <c r="D362" s="84"/>
    </row>
    <row r="363" ht="15.75" customHeight="1">
      <c r="D363" s="84"/>
    </row>
    <row r="364" ht="15.75" customHeight="1">
      <c r="D364" s="84"/>
    </row>
    <row r="365" ht="15.75" customHeight="1">
      <c r="D365" s="84"/>
    </row>
    <row r="366" ht="15.75" customHeight="1">
      <c r="D366" s="84"/>
    </row>
    <row r="367" ht="15.75" customHeight="1">
      <c r="D367" s="84"/>
    </row>
    <row r="368" ht="15.75" customHeight="1">
      <c r="D368" s="84"/>
    </row>
    <row r="369" ht="15.75" customHeight="1">
      <c r="D369" s="84"/>
    </row>
    <row r="370" ht="15.75" customHeight="1">
      <c r="D370" s="84"/>
    </row>
    <row r="371" ht="15.75" customHeight="1">
      <c r="D371" s="84"/>
    </row>
    <row r="372" ht="15.75" customHeight="1">
      <c r="D372" s="84"/>
    </row>
    <row r="373" ht="15.75" customHeight="1">
      <c r="D373" s="84"/>
    </row>
    <row r="374" ht="15.75" customHeight="1">
      <c r="D374" s="84"/>
    </row>
    <row r="375" ht="15.75" customHeight="1">
      <c r="D375" s="84"/>
    </row>
    <row r="376" ht="15.75" customHeight="1">
      <c r="D376" s="84"/>
    </row>
    <row r="377" ht="15.75" customHeight="1">
      <c r="D377" s="84"/>
    </row>
    <row r="378" ht="15.75" customHeight="1">
      <c r="D378" s="84"/>
    </row>
    <row r="379" ht="15.75" customHeight="1">
      <c r="D379" s="84"/>
    </row>
    <row r="380" ht="15.75" customHeight="1">
      <c r="D380" s="84"/>
    </row>
    <row r="381" ht="15.75" customHeight="1">
      <c r="D381" s="84"/>
    </row>
    <row r="382" ht="15.75" customHeight="1">
      <c r="D382" s="84"/>
    </row>
    <row r="383" ht="15.75" customHeight="1">
      <c r="D383" s="84"/>
    </row>
    <row r="384" ht="15.75" customHeight="1">
      <c r="D384" s="84"/>
    </row>
    <row r="385" ht="15.75" customHeight="1">
      <c r="D385" s="84"/>
    </row>
    <row r="386" ht="15.75" customHeight="1">
      <c r="D386" s="84"/>
    </row>
    <row r="387" ht="15.75" customHeight="1">
      <c r="D387" s="84"/>
    </row>
    <row r="388" ht="15.75" customHeight="1">
      <c r="D388" s="84"/>
    </row>
    <row r="389" ht="15.75" customHeight="1">
      <c r="D389" s="84"/>
    </row>
    <row r="390" ht="15.75" customHeight="1">
      <c r="D390" s="84"/>
    </row>
    <row r="391" ht="15.75" customHeight="1">
      <c r="D391" s="84"/>
    </row>
    <row r="392" ht="15.75" customHeight="1">
      <c r="D392" s="84"/>
    </row>
    <row r="393" ht="15.75" customHeight="1">
      <c r="D393" s="84"/>
    </row>
    <row r="394" ht="15.75" customHeight="1">
      <c r="D394" s="84"/>
    </row>
    <row r="395" ht="15.75" customHeight="1">
      <c r="D395" s="84"/>
    </row>
    <row r="396" ht="15.75" customHeight="1">
      <c r="D396" s="84"/>
    </row>
    <row r="397" ht="15.75" customHeight="1">
      <c r="D397" s="84"/>
    </row>
    <row r="398" ht="15.75" customHeight="1">
      <c r="D398" s="84"/>
    </row>
    <row r="399" ht="15.75" customHeight="1">
      <c r="D399" s="84"/>
    </row>
    <row r="400" ht="15.75" customHeight="1">
      <c r="D400" s="84"/>
    </row>
    <row r="401" ht="15.75" customHeight="1">
      <c r="D401" s="84"/>
    </row>
    <row r="402" ht="15.75" customHeight="1">
      <c r="D402" s="84"/>
    </row>
    <row r="403" ht="15.75" customHeight="1">
      <c r="D403" s="84"/>
    </row>
    <row r="404" ht="15.75" customHeight="1">
      <c r="D404" s="84"/>
    </row>
    <row r="405" ht="15.75" customHeight="1">
      <c r="D405" s="84"/>
    </row>
    <row r="406" ht="15.75" customHeight="1">
      <c r="D406" s="84"/>
    </row>
    <row r="407" ht="15.75" customHeight="1">
      <c r="D407" s="84"/>
    </row>
    <row r="408" ht="15.75" customHeight="1">
      <c r="D408" s="84"/>
    </row>
    <row r="409" ht="15.75" customHeight="1">
      <c r="D409" s="84"/>
    </row>
    <row r="410" ht="15.75" customHeight="1">
      <c r="D410" s="84"/>
    </row>
    <row r="411" ht="15.75" customHeight="1">
      <c r="D411" s="84"/>
    </row>
    <row r="412" ht="15.75" customHeight="1">
      <c r="D412" s="84"/>
    </row>
    <row r="413" ht="15.75" customHeight="1">
      <c r="D413" s="84"/>
    </row>
    <row r="414" ht="15.75" customHeight="1">
      <c r="D414" s="84"/>
    </row>
    <row r="415" ht="15.75" customHeight="1">
      <c r="D415" s="84"/>
    </row>
    <row r="416" ht="15.75" customHeight="1">
      <c r="D416" s="84"/>
    </row>
    <row r="417" ht="15.75" customHeight="1">
      <c r="D417" s="84"/>
    </row>
    <row r="418" ht="15.75" customHeight="1">
      <c r="D418" s="84"/>
    </row>
    <row r="419" ht="15.75" customHeight="1">
      <c r="D419" s="84"/>
    </row>
    <row r="420" ht="15.75" customHeight="1">
      <c r="D420" s="84"/>
    </row>
    <row r="421" ht="15.75" customHeight="1">
      <c r="D421" s="84"/>
    </row>
    <row r="422" ht="15.75" customHeight="1">
      <c r="D422" s="84"/>
    </row>
    <row r="423" ht="15.75" customHeight="1">
      <c r="D423" s="84"/>
    </row>
    <row r="424" ht="15.75" customHeight="1">
      <c r="D424" s="84"/>
    </row>
    <row r="425" ht="15.75" customHeight="1">
      <c r="D425" s="84"/>
    </row>
    <row r="426" ht="15.75" customHeight="1">
      <c r="D426" s="84"/>
    </row>
    <row r="427" ht="15.75" customHeight="1">
      <c r="D427" s="84"/>
    </row>
    <row r="428" ht="15.75" customHeight="1">
      <c r="D428" s="84"/>
    </row>
    <row r="429" ht="15.75" customHeight="1">
      <c r="D429" s="84"/>
    </row>
    <row r="430" ht="15.75" customHeight="1">
      <c r="D430" s="84"/>
    </row>
    <row r="431" ht="15.75" customHeight="1">
      <c r="D431" s="84"/>
    </row>
    <row r="432" ht="15.75" customHeight="1">
      <c r="D432" s="84"/>
    </row>
    <row r="433" ht="15.75" customHeight="1">
      <c r="D433" s="84"/>
    </row>
    <row r="434" ht="15.75" customHeight="1">
      <c r="D434" s="84"/>
    </row>
    <row r="435" ht="15.75" customHeight="1">
      <c r="D435" s="84"/>
    </row>
    <row r="436" ht="15.75" customHeight="1">
      <c r="D436" s="84"/>
    </row>
    <row r="437" ht="15.75" customHeight="1">
      <c r="D437" s="84"/>
    </row>
    <row r="438" ht="15.75" customHeight="1">
      <c r="D438" s="84"/>
    </row>
    <row r="439" ht="15.75" customHeight="1">
      <c r="D439" s="84"/>
    </row>
    <row r="440" ht="15.75" customHeight="1">
      <c r="D440" s="84"/>
    </row>
    <row r="441" ht="15.75" customHeight="1">
      <c r="D441" s="84"/>
    </row>
    <row r="442" ht="15.75" customHeight="1">
      <c r="D442" s="84"/>
    </row>
    <row r="443" ht="15.75" customHeight="1">
      <c r="D443" s="84"/>
    </row>
    <row r="444" ht="15.75" customHeight="1">
      <c r="D444" s="84"/>
    </row>
    <row r="445" ht="15.75" customHeight="1">
      <c r="D445" s="84"/>
    </row>
    <row r="446" ht="15.75" customHeight="1">
      <c r="D446" s="84"/>
    </row>
    <row r="447" ht="15.75" customHeight="1">
      <c r="D447" s="84"/>
    </row>
    <row r="448" ht="15.75" customHeight="1">
      <c r="D448" s="84"/>
    </row>
    <row r="449" ht="15.75" customHeight="1">
      <c r="D449" s="84"/>
    </row>
    <row r="450" ht="15.75" customHeight="1">
      <c r="D450" s="84"/>
    </row>
    <row r="451" ht="15.75" customHeight="1">
      <c r="D451" s="84"/>
    </row>
    <row r="452" ht="15.75" customHeight="1">
      <c r="D452" s="84"/>
    </row>
    <row r="453" ht="15.75" customHeight="1">
      <c r="D453" s="84"/>
    </row>
    <row r="454" ht="15.75" customHeight="1">
      <c r="D454" s="84"/>
    </row>
    <row r="455" ht="15.75" customHeight="1">
      <c r="D455" s="84"/>
    </row>
    <row r="456" ht="15.75" customHeight="1">
      <c r="D456" s="84"/>
    </row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26.5"/>
    <col customWidth="1" min="3" max="3" width="9.25"/>
    <col customWidth="1" min="4" max="4" width="27.5"/>
  </cols>
  <sheetData>
    <row r="2">
      <c r="B2" s="9" t="s">
        <v>35</v>
      </c>
      <c r="C2" s="5"/>
      <c r="D2" s="6"/>
    </row>
    <row r="3">
      <c r="B3" s="9"/>
      <c r="C3" s="85" t="s">
        <v>114</v>
      </c>
      <c r="D3" s="86" t="s">
        <v>115</v>
      </c>
    </row>
    <row r="4">
      <c r="B4" s="87" t="s">
        <v>116</v>
      </c>
      <c r="C4" s="13">
        <v>0.0</v>
      </c>
      <c r="D4" s="35" t="s">
        <v>13</v>
      </c>
    </row>
    <row r="5">
      <c r="B5" s="88" t="s">
        <v>117</v>
      </c>
      <c r="C5" s="13">
        <v>0.01</v>
      </c>
      <c r="D5" s="14"/>
      <c r="E5" s="1" t="s">
        <v>118</v>
      </c>
    </row>
    <row r="6">
      <c r="B6" s="88" t="s">
        <v>119</v>
      </c>
      <c r="C6" s="13">
        <v>0.06</v>
      </c>
      <c r="D6" s="14"/>
      <c r="E6" s="1" t="s">
        <v>120</v>
      </c>
    </row>
    <row r="7">
      <c r="B7" s="89" t="s">
        <v>121</v>
      </c>
      <c r="C7" s="13">
        <v>0.03</v>
      </c>
      <c r="D7" s="14"/>
      <c r="E7" s="1" t="s">
        <v>122</v>
      </c>
    </row>
    <row r="8">
      <c r="B8" s="89" t="s">
        <v>123</v>
      </c>
      <c r="C8" s="13">
        <v>0.0</v>
      </c>
      <c r="D8" s="14"/>
    </row>
    <row r="9">
      <c r="B9" s="89" t="s">
        <v>124</v>
      </c>
      <c r="C9" s="13">
        <v>0.05</v>
      </c>
      <c r="D9" s="14"/>
    </row>
    <row r="10">
      <c r="B10" s="87" t="s">
        <v>125</v>
      </c>
      <c r="C10" s="90">
        <v>0.011</v>
      </c>
      <c r="D10" s="49"/>
      <c r="E10" s="1" t="s">
        <v>126</v>
      </c>
    </row>
    <row r="11">
      <c r="B11" s="87" t="s">
        <v>127</v>
      </c>
      <c r="C11" s="90">
        <v>0.2</v>
      </c>
      <c r="D11" s="49"/>
      <c r="E11" s="1" t="s">
        <v>128</v>
      </c>
    </row>
    <row r="12">
      <c r="B12" s="87" t="s">
        <v>129</v>
      </c>
      <c r="C12" s="91">
        <f>C10*'Systems Param+Perf'!C43+C11</f>
        <v>0.64</v>
      </c>
      <c r="D12" s="49"/>
      <c r="E12" s="1" t="s">
        <v>130</v>
      </c>
    </row>
    <row r="13">
      <c r="B13" s="87" t="s">
        <v>131</v>
      </c>
      <c r="C13" s="90">
        <v>0.06</v>
      </c>
      <c r="D13" s="49"/>
    </row>
    <row r="14">
      <c r="B14" s="87" t="s">
        <v>132</v>
      </c>
      <c r="C14" s="90">
        <v>0.0</v>
      </c>
      <c r="D14" s="49"/>
    </row>
    <row r="15">
      <c r="B15" s="87" t="s">
        <v>133</v>
      </c>
      <c r="C15" s="90">
        <v>0.05</v>
      </c>
      <c r="D15" s="49"/>
    </row>
    <row r="16">
      <c r="B16" s="87" t="s">
        <v>134</v>
      </c>
      <c r="C16" s="91">
        <f>C13+C14</f>
        <v>0.06</v>
      </c>
      <c r="D16" s="14"/>
    </row>
    <row r="19">
      <c r="B19" s="9" t="s">
        <v>48</v>
      </c>
      <c r="C19" s="5"/>
      <c r="D19" s="6"/>
    </row>
    <row r="20">
      <c r="B20" s="92"/>
      <c r="C20" s="85" t="s">
        <v>114</v>
      </c>
      <c r="D20" s="86" t="s">
        <v>115</v>
      </c>
    </row>
    <row r="21">
      <c r="B21" s="41" t="s">
        <v>135</v>
      </c>
      <c r="C21" s="13">
        <v>0.791</v>
      </c>
      <c r="D21" s="14"/>
      <c r="E21" s="1" t="s">
        <v>136</v>
      </c>
    </row>
    <row r="22">
      <c r="B22" s="41" t="s">
        <v>137</v>
      </c>
      <c r="C22" s="13">
        <v>0.335</v>
      </c>
      <c r="D22" s="14"/>
      <c r="E22" s="1" t="s">
        <v>138</v>
      </c>
    </row>
    <row r="23">
      <c r="B23" s="41" t="s">
        <v>139</v>
      </c>
      <c r="C23" s="90">
        <v>0.452</v>
      </c>
      <c r="D23" s="49"/>
      <c r="E23" s="1" t="s">
        <v>140</v>
      </c>
    </row>
    <row r="24">
      <c r="B24" s="41" t="s">
        <v>141</v>
      </c>
      <c r="C24" s="93">
        <v>0.055</v>
      </c>
      <c r="D24" s="49"/>
      <c r="E24" s="1" t="s">
        <v>142</v>
      </c>
    </row>
    <row r="25">
      <c r="B25" s="87" t="s">
        <v>143</v>
      </c>
      <c r="C25" s="90">
        <v>0.3</v>
      </c>
      <c r="D25" s="49"/>
    </row>
    <row r="26">
      <c r="B26" s="87" t="s">
        <v>144</v>
      </c>
      <c r="C26" s="90">
        <v>0.3</v>
      </c>
      <c r="D26" s="49"/>
    </row>
    <row r="27">
      <c r="B27" s="87" t="s">
        <v>145</v>
      </c>
      <c r="C27" s="90">
        <v>0.3</v>
      </c>
      <c r="D27" s="49"/>
    </row>
    <row r="28">
      <c r="B28" s="87" t="s">
        <v>146</v>
      </c>
      <c r="C28" s="90">
        <v>0.3</v>
      </c>
      <c r="D28" s="49"/>
    </row>
    <row r="29">
      <c r="B29" s="87" t="s">
        <v>147</v>
      </c>
      <c r="C29" s="94"/>
      <c r="D29" s="49"/>
    </row>
    <row r="30">
      <c r="B30" s="87" t="s">
        <v>148</v>
      </c>
      <c r="C30" s="90">
        <v>0.06</v>
      </c>
      <c r="D30" s="49"/>
    </row>
    <row r="31">
      <c r="B31" s="87" t="s">
        <v>149</v>
      </c>
      <c r="C31" s="90">
        <v>0.06</v>
      </c>
      <c r="D31" s="49"/>
    </row>
    <row r="32">
      <c r="B32" s="87" t="s">
        <v>150</v>
      </c>
      <c r="C32" s="90">
        <v>0.06</v>
      </c>
      <c r="D32" s="49"/>
    </row>
    <row r="33">
      <c r="B33" s="87" t="s">
        <v>151</v>
      </c>
      <c r="C33" s="90">
        <v>0.06</v>
      </c>
      <c r="D33" s="49"/>
    </row>
    <row r="34">
      <c r="B34" s="87" t="s">
        <v>152</v>
      </c>
      <c r="C34" s="90">
        <v>1.0</v>
      </c>
      <c r="D34" s="49"/>
    </row>
    <row r="35">
      <c r="B35" s="87" t="s">
        <v>153</v>
      </c>
      <c r="C35" s="90">
        <v>0.5</v>
      </c>
      <c r="D35" s="49"/>
      <c r="E35" s="1" t="s">
        <v>154</v>
      </c>
    </row>
    <row r="36">
      <c r="B36" s="12" t="s">
        <v>87</v>
      </c>
      <c r="C36" s="30">
        <v>135.0</v>
      </c>
      <c r="D36" s="14" t="s">
        <v>88</v>
      </c>
    </row>
    <row r="37">
      <c r="B37" s="89" t="s">
        <v>155</v>
      </c>
      <c r="C37" s="95">
        <f>('Systems Param+Perf'!C31*'Systems Param+Perf'!C35*'Systems Param+Perf'!C37*0.001)/'Systems Param+Perf'!C32</f>
        <v>1.710222222</v>
      </c>
      <c r="D37" s="89" t="s">
        <v>13</v>
      </c>
    </row>
    <row r="38">
      <c r="B38" s="89" t="s">
        <v>156</v>
      </c>
      <c r="C38" s="96">
        <v>0.08</v>
      </c>
      <c r="D38" s="89"/>
    </row>
    <row r="39">
      <c r="B39" s="89" t="s">
        <v>157</v>
      </c>
      <c r="C39" s="96">
        <v>0.2</v>
      </c>
      <c r="D39" s="89"/>
      <c r="E39" s="1" t="s">
        <v>158</v>
      </c>
    </row>
    <row r="40">
      <c r="B40" s="1"/>
      <c r="C40" s="1"/>
      <c r="D40" s="1"/>
      <c r="E40" s="1"/>
    </row>
    <row r="42">
      <c r="B42" s="85" t="s">
        <v>159</v>
      </c>
      <c r="C42" s="5"/>
      <c r="D42" s="6"/>
    </row>
    <row r="43">
      <c r="B43" s="92"/>
      <c r="C43" s="97"/>
      <c r="D43" s="86" t="s">
        <v>160</v>
      </c>
    </row>
    <row r="44">
      <c r="B44" s="89" t="s">
        <v>161</v>
      </c>
      <c r="C44" s="98">
        <f>SUM(C4,C5,C6,C7,C8,C9,C12,C16,C21,C22,(2*C23),C25,C26,C27,C28,C29,C30,C31,C32,C33,C34,C35,C37,C38,C39)</f>
        <v>7.810222222</v>
      </c>
      <c r="D44" s="99"/>
      <c r="E44" s="1" t="s">
        <v>162</v>
      </c>
    </row>
    <row r="45">
      <c r="B45" s="89" t="s">
        <v>163</v>
      </c>
      <c r="C45" s="100">
        <f>C44*9.8</f>
        <v>76.54017778</v>
      </c>
      <c r="D45" s="99"/>
      <c r="E45" s="1" t="s">
        <v>162</v>
      </c>
    </row>
    <row r="46">
      <c r="B46" s="89" t="s">
        <v>164</v>
      </c>
      <c r="C46" s="99">
        <f>C44*2.205</f>
        <v>17.22154</v>
      </c>
      <c r="D46" s="99"/>
      <c r="E46" s="1" t="s">
        <v>162</v>
      </c>
    </row>
    <row r="49">
      <c r="C49" s="101"/>
    </row>
  </sheetData>
  <mergeCells count="3">
    <mergeCell ref="B2:D2"/>
    <mergeCell ref="B19:D19"/>
    <mergeCell ref="B42:D42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8.0"/>
    <col customWidth="1" min="2" max="2" width="27.5"/>
    <col customWidth="1" min="6" max="6" width="16.88"/>
  </cols>
  <sheetData>
    <row r="1">
      <c r="A1" s="102" t="s">
        <v>165</v>
      </c>
      <c r="B1" s="103"/>
      <c r="C1" s="103"/>
      <c r="D1" s="103"/>
    </row>
    <row r="2">
      <c r="A2" s="99"/>
      <c r="B2" s="104" t="s">
        <v>166</v>
      </c>
      <c r="C2" s="105"/>
      <c r="D2" s="99"/>
    </row>
    <row r="3">
      <c r="A3" s="99"/>
      <c r="B3" s="89" t="s">
        <v>167</v>
      </c>
      <c r="C3" s="89"/>
      <c r="D3" s="89" t="s">
        <v>168</v>
      </c>
      <c r="F3" s="1"/>
    </row>
    <row r="4">
      <c r="A4" s="99"/>
      <c r="B4" s="89" t="s">
        <v>169</v>
      </c>
      <c r="C4" s="96">
        <v>25.97</v>
      </c>
      <c r="D4" s="89"/>
      <c r="F4" s="1" t="s">
        <v>170</v>
      </c>
    </row>
    <row r="5">
      <c r="A5" s="89"/>
      <c r="B5" s="89" t="s">
        <v>171</v>
      </c>
      <c r="C5" s="96">
        <v>87.83</v>
      </c>
      <c r="D5" s="89"/>
      <c r="F5" s="1"/>
    </row>
    <row r="6">
      <c r="A6" s="99"/>
      <c r="B6" s="89" t="s">
        <v>172</v>
      </c>
      <c r="C6" s="96">
        <v>12.83</v>
      </c>
      <c r="D6" s="99"/>
    </row>
    <row r="7">
      <c r="A7" s="99"/>
      <c r="B7" s="89" t="s">
        <v>173</v>
      </c>
      <c r="C7" s="96">
        <v>4.55</v>
      </c>
      <c r="D7" s="89" t="s">
        <v>13</v>
      </c>
    </row>
    <row r="8">
      <c r="A8" s="99"/>
      <c r="B8" s="99"/>
      <c r="C8" s="99"/>
      <c r="D8" s="99"/>
    </row>
    <row r="9">
      <c r="A9" s="99"/>
      <c r="B9" s="104" t="s">
        <v>174</v>
      </c>
      <c r="C9" s="105"/>
      <c r="D9" s="99"/>
    </row>
    <row r="10">
      <c r="A10" s="99"/>
      <c r="B10" s="89" t="s">
        <v>167</v>
      </c>
      <c r="C10" s="99"/>
      <c r="D10" s="89" t="s">
        <v>168</v>
      </c>
      <c r="F10" s="1" t="s">
        <v>170</v>
      </c>
    </row>
    <row r="11">
      <c r="A11" s="99"/>
      <c r="B11" s="89" t="s">
        <v>169</v>
      </c>
      <c r="C11" s="96">
        <v>25.97</v>
      </c>
      <c r="D11" s="89"/>
    </row>
    <row r="12">
      <c r="A12" s="99"/>
      <c r="B12" s="89" t="s">
        <v>171</v>
      </c>
      <c r="C12" s="96">
        <v>87.83</v>
      </c>
      <c r="D12" s="89"/>
    </row>
    <row r="13">
      <c r="A13" s="99"/>
      <c r="B13" s="89" t="s">
        <v>172</v>
      </c>
      <c r="C13" s="96">
        <v>12.83</v>
      </c>
      <c r="D13" s="99"/>
    </row>
    <row r="14">
      <c r="A14" s="99"/>
      <c r="B14" s="89" t="s">
        <v>173</v>
      </c>
      <c r="C14" s="96">
        <v>4.55</v>
      </c>
      <c r="D14" s="89" t="s">
        <v>13</v>
      </c>
    </row>
    <row r="15">
      <c r="A15" s="99"/>
      <c r="B15" s="89"/>
      <c r="C15" s="89"/>
      <c r="D15" s="89"/>
    </row>
    <row r="16">
      <c r="A16" s="99"/>
      <c r="B16" s="104" t="s">
        <v>175</v>
      </c>
      <c r="C16" s="105"/>
      <c r="D16" s="99"/>
    </row>
    <row r="17">
      <c r="A17" s="99"/>
      <c r="B17" s="89" t="s">
        <v>167</v>
      </c>
      <c r="C17" s="99"/>
      <c r="D17" s="89" t="s">
        <v>168</v>
      </c>
      <c r="F17" s="1" t="s">
        <v>170</v>
      </c>
    </row>
    <row r="18">
      <c r="A18" s="99"/>
      <c r="B18" s="89" t="s">
        <v>169</v>
      </c>
      <c r="C18" s="96">
        <v>25.97</v>
      </c>
      <c r="D18" s="99"/>
    </row>
    <row r="19">
      <c r="A19" s="99"/>
      <c r="B19" s="89" t="s">
        <v>171</v>
      </c>
      <c r="C19" s="96">
        <v>87.83</v>
      </c>
      <c r="D19" s="89"/>
    </row>
    <row r="20">
      <c r="A20" s="99"/>
      <c r="B20" s="89" t="s">
        <v>172</v>
      </c>
      <c r="C20" s="96">
        <v>12.83</v>
      </c>
      <c r="D20" s="99"/>
    </row>
    <row r="21">
      <c r="A21" s="99"/>
      <c r="B21" s="89" t="s">
        <v>173</v>
      </c>
      <c r="C21" s="96">
        <v>4.55</v>
      </c>
      <c r="D21" s="89" t="s">
        <v>13</v>
      </c>
    </row>
    <row r="22">
      <c r="A22" s="99"/>
      <c r="B22" s="99"/>
      <c r="C22" s="99"/>
      <c r="D22" s="99"/>
    </row>
    <row r="23">
      <c r="A23" s="99"/>
      <c r="B23" s="104" t="s">
        <v>176</v>
      </c>
      <c r="C23" s="105"/>
      <c r="D23" s="99"/>
    </row>
    <row r="24">
      <c r="A24" s="99"/>
      <c r="B24" s="89" t="s">
        <v>167</v>
      </c>
      <c r="C24" s="99"/>
      <c r="D24" s="89" t="s">
        <v>168</v>
      </c>
      <c r="F24" s="1" t="s">
        <v>170</v>
      </c>
    </row>
    <row r="25">
      <c r="A25" s="99"/>
      <c r="B25" s="89" t="s">
        <v>169</v>
      </c>
      <c r="C25" s="96">
        <v>25.97</v>
      </c>
      <c r="D25" s="99"/>
      <c r="F25" s="1"/>
    </row>
    <row r="26">
      <c r="A26" s="99"/>
      <c r="B26" s="89" t="s">
        <v>171</v>
      </c>
      <c r="C26" s="96">
        <v>87.83</v>
      </c>
      <c r="D26" s="89"/>
      <c r="F26" s="1"/>
    </row>
    <row r="27">
      <c r="A27" s="99"/>
      <c r="B27" s="89" t="s">
        <v>172</v>
      </c>
      <c r="C27" s="96">
        <v>12.83</v>
      </c>
      <c r="D27" s="99"/>
      <c r="F27" s="1"/>
    </row>
    <row r="28">
      <c r="A28" s="99"/>
      <c r="B28" s="89" t="s">
        <v>173</v>
      </c>
      <c r="C28" s="96">
        <v>4.55</v>
      </c>
      <c r="D28" s="89" t="s">
        <v>13</v>
      </c>
      <c r="F28" s="1"/>
    </row>
    <row r="29">
      <c r="A29" s="99"/>
      <c r="B29" s="99"/>
      <c r="C29" s="99"/>
      <c r="D29" s="99"/>
    </row>
    <row r="30">
      <c r="A30" s="102" t="s">
        <v>177</v>
      </c>
      <c r="B30" s="103"/>
      <c r="C30" s="103"/>
      <c r="D30" s="103"/>
    </row>
    <row r="31">
      <c r="A31" s="99"/>
      <c r="B31" s="12" t="s">
        <v>83</v>
      </c>
      <c r="C31" s="13">
        <v>5200.0</v>
      </c>
      <c r="D31" s="14" t="s">
        <v>84</v>
      </c>
    </row>
    <row r="32">
      <c r="A32" s="99"/>
      <c r="B32" s="12" t="s">
        <v>87</v>
      </c>
      <c r="C32" s="30">
        <v>135.0</v>
      </c>
      <c r="D32" s="14" t="s">
        <v>88</v>
      </c>
    </row>
    <row r="33">
      <c r="A33" s="99"/>
      <c r="B33" s="12" t="s">
        <v>89</v>
      </c>
      <c r="C33" s="30">
        <v>3.7</v>
      </c>
      <c r="D33" s="14" t="s">
        <v>82</v>
      </c>
    </row>
    <row r="34">
      <c r="A34" s="99"/>
      <c r="B34" s="12" t="s">
        <v>92</v>
      </c>
      <c r="C34" s="13">
        <v>6.0</v>
      </c>
      <c r="D34" s="14"/>
    </row>
    <row r="35">
      <c r="A35" s="99"/>
      <c r="B35" s="12" t="s">
        <v>93</v>
      </c>
      <c r="C35" s="13">
        <v>2.0</v>
      </c>
      <c r="D35" s="14"/>
    </row>
    <row r="36">
      <c r="A36" s="99"/>
      <c r="B36" s="15" t="s">
        <v>94</v>
      </c>
      <c r="C36" s="106">
        <f>C31*C35</f>
        <v>10400</v>
      </c>
      <c r="D36" s="14" t="s">
        <v>84</v>
      </c>
    </row>
    <row r="37">
      <c r="A37" s="99"/>
      <c r="B37" s="15" t="s">
        <v>95</v>
      </c>
      <c r="C37" s="106">
        <f>C33*C34</f>
        <v>22.2</v>
      </c>
      <c r="D37" s="14" t="s">
        <v>82</v>
      </c>
    </row>
    <row r="38">
      <c r="A38" s="99"/>
      <c r="B38" s="12" t="s">
        <v>97</v>
      </c>
      <c r="C38" s="107">
        <f>(C31*C35*0.001*C37)/C32</f>
        <v>1.710222222</v>
      </c>
      <c r="D38" s="14" t="s">
        <v>13</v>
      </c>
      <c r="E38">
        <f>C38*2.2</f>
        <v>3.762488889</v>
      </c>
      <c r="F38" s="1" t="s">
        <v>178</v>
      </c>
    </row>
    <row r="39">
      <c r="A39" s="99"/>
      <c r="B39" s="15" t="s">
        <v>99</v>
      </c>
      <c r="C39" s="30">
        <v>85.0</v>
      </c>
      <c r="D39" s="14" t="s">
        <v>19</v>
      </c>
    </row>
    <row r="40">
      <c r="A40" s="99"/>
      <c r="B40" s="99"/>
      <c r="C40" s="99"/>
      <c r="D40" s="99"/>
    </row>
    <row r="41">
      <c r="A41" s="102" t="s">
        <v>179</v>
      </c>
      <c r="B41" s="103"/>
      <c r="C41" s="103"/>
      <c r="D41" s="103"/>
    </row>
    <row r="42">
      <c r="A42" s="99"/>
      <c r="B42" s="89" t="s">
        <v>180</v>
      </c>
      <c r="C42" s="96">
        <v>1.8</v>
      </c>
      <c r="D42" s="89" t="s">
        <v>181</v>
      </c>
    </row>
    <row r="43">
      <c r="A43" s="99"/>
      <c r="B43" s="1" t="s">
        <v>182</v>
      </c>
      <c r="C43" s="96">
        <v>40.0</v>
      </c>
      <c r="D43" s="89"/>
    </row>
    <row r="44">
      <c r="A44" s="99"/>
      <c r="B44" s="1" t="s">
        <v>183</v>
      </c>
      <c r="C44" s="108">
        <v>0.85</v>
      </c>
      <c r="D44" s="89" t="s">
        <v>19</v>
      </c>
      <c r="E44" s="1" t="s">
        <v>184</v>
      </c>
    </row>
    <row r="45">
      <c r="A45" s="99"/>
      <c r="B45" s="104" t="s">
        <v>185</v>
      </c>
      <c r="C45" s="95">
        <f>C42*C43*C44</f>
        <v>61.2</v>
      </c>
      <c r="D45" s="89" t="s">
        <v>42</v>
      </c>
    </row>
    <row r="46">
      <c r="A46" s="99"/>
      <c r="B46" s="99"/>
      <c r="C46" s="99"/>
      <c r="D46" s="99"/>
    </row>
    <row r="47">
      <c r="A47" s="102" t="s">
        <v>186</v>
      </c>
      <c r="B47" s="103"/>
      <c r="C47" s="103"/>
      <c r="D47" s="103"/>
    </row>
    <row r="48">
      <c r="A48" s="99"/>
      <c r="B48" s="89" t="s">
        <v>187</v>
      </c>
      <c r="C48" s="105"/>
      <c r="D48" s="89" t="s">
        <v>188</v>
      </c>
    </row>
    <row r="49">
      <c r="A49" s="99"/>
      <c r="B49" s="89" t="s">
        <v>189</v>
      </c>
      <c r="C49" s="105"/>
      <c r="D49" s="99"/>
    </row>
    <row r="50">
      <c r="A50" s="99"/>
      <c r="B50" s="89" t="s">
        <v>190</v>
      </c>
      <c r="C50" s="105"/>
      <c r="D50" s="89" t="s">
        <v>42</v>
      </c>
    </row>
    <row r="51">
      <c r="A51" s="99"/>
      <c r="B51" s="89" t="s">
        <v>191</v>
      </c>
      <c r="C51" s="105"/>
      <c r="D51" s="89" t="s">
        <v>42</v>
      </c>
    </row>
    <row r="52">
      <c r="A52" s="99"/>
      <c r="B52" s="89" t="s">
        <v>192</v>
      </c>
      <c r="C52" s="105"/>
      <c r="D52" s="89"/>
    </row>
    <row r="53">
      <c r="A53" s="99"/>
      <c r="B53" s="89" t="s">
        <v>193</v>
      </c>
      <c r="C53" s="95">
        <f>C51*C52</f>
        <v>0</v>
      </c>
      <c r="D53" s="89" t="s">
        <v>42</v>
      </c>
    </row>
    <row r="54">
      <c r="A54" s="99"/>
      <c r="B54" s="104" t="s">
        <v>194</v>
      </c>
      <c r="C54" s="95">
        <f>C48*C49+C50+C53</f>
        <v>0</v>
      </c>
      <c r="D54" s="89" t="s">
        <v>42</v>
      </c>
    </row>
    <row r="55">
      <c r="A55" s="89"/>
      <c r="B55" s="99"/>
      <c r="C55" s="99"/>
      <c r="D55" s="99"/>
    </row>
    <row r="56">
      <c r="A56" s="102" t="s">
        <v>195</v>
      </c>
      <c r="B56" s="103"/>
      <c r="C56" s="103"/>
      <c r="D56" s="103"/>
    </row>
    <row r="57">
      <c r="A57" s="89"/>
      <c r="B57" s="89" t="s">
        <v>196</v>
      </c>
      <c r="C57" s="96">
        <v>2.6</v>
      </c>
      <c r="D57" s="89" t="s">
        <v>42</v>
      </c>
    </row>
    <row r="58">
      <c r="A58" s="89"/>
      <c r="B58" s="89" t="s">
        <v>197</v>
      </c>
      <c r="C58" s="96">
        <v>0.05</v>
      </c>
      <c r="D58" s="89" t="s">
        <v>198</v>
      </c>
    </row>
    <row r="59">
      <c r="A59" s="99"/>
      <c r="B59" s="89" t="s">
        <v>199</v>
      </c>
      <c r="C59" s="96">
        <v>6.0</v>
      </c>
      <c r="D59" s="99"/>
      <c r="E59" s="1" t="s">
        <v>200</v>
      </c>
    </row>
    <row r="60">
      <c r="A60" s="99"/>
      <c r="B60" s="89" t="s">
        <v>201</v>
      </c>
      <c r="C60" s="95">
        <f>C59*C58</f>
        <v>0.3</v>
      </c>
      <c r="D60" s="89" t="s">
        <v>42</v>
      </c>
    </row>
    <row r="61">
      <c r="A61" s="99"/>
      <c r="B61" s="104" t="s">
        <v>194</v>
      </c>
      <c r="C61" s="95">
        <f>C60+C57</f>
        <v>2.9</v>
      </c>
      <c r="D61" s="89" t="s">
        <v>42</v>
      </c>
    </row>
    <row r="62">
      <c r="A62" s="99"/>
      <c r="B62" s="99"/>
      <c r="C62" s="99"/>
      <c r="D62" s="99"/>
    </row>
    <row r="63">
      <c r="A63" s="102" t="s">
        <v>202</v>
      </c>
      <c r="B63" s="103"/>
      <c r="C63" s="103"/>
      <c r="D63" s="103"/>
    </row>
    <row r="64">
      <c r="A64" s="99"/>
      <c r="B64" s="99"/>
      <c r="C64" s="99"/>
      <c r="D64" s="99"/>
    </row>
  </sheetData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63"/>
  </cols>
  <sheetData>
    <row r="1">
      <c r="A1" s="109" t="s">
        <v>203</v>
      </c>
    </row>
    <row r="2">
      <c r="A2" s="41" t="s">
        <v>60</v>
      </c>
      <c r="B2" s="110">
        <v>0.08</v>
      </c>
      <c r="C2" s="41" t="s">
        <v>204</v>
      </c>
      <c r="D2" s="111" t="s">
        <v>205</v>
      </c>
    </row>
    <row r="3">
      <c r="A3" s="41"/>
      <c r="B3" s="112"/>
      <c r="C3" s="41"/>
    </row>
    <row r="4">
      <c r="A4" s="113" t="s">
        <v>206</v>
      </c>
      <c r="B4" s="5"/>
      <c r="C4" s="6"/>
    </row>
    <row r="5">
      <c r="A5" s="41" t="s">
        <v>207</v>
      </c>
      <c r="B5" s="114">
        <v>0.016</v>
      </c>
      <c r="C5" s="41" t="s">
        <v>204</v>
      </c>
      <c r="D5" s="1" t="s">
        <v>208</v>
      </c>
    </row>
    <row r="6">
      <c r="A6" s="41" t="s">
        <v>209</v>
      </c>
      <c r="B6" s="115">
        <v>0.85</v>
      </c>
      <c r="C6" s="41" t="s">
        <v>19</v>
      </c>
      <c r="D6" s="1"/>
    </row>
    <row r="7">
      <c r="A7" s="41" t="s">
        <v>17</v>
      </c>
      <c r="B7" s="41">
        <v>10.77</v>
      </c>
      <c r="C7" s="41" t="s">
        <v>204</v>
      </c>
      <c r="D7" s="1"/>
    </row>
    <row r="8">
      <c r="A8" s="41" t="s">
        <v>210</v>
      </c>
      <c r="B8" s="41">
        <v>126.0</v>
      </c>
      <c r="C8" s="41" t="s">
        <v>211</v>
      </c>
      <c r="D8" s="1">
        <f>B8/B7</f>
        <v>11.69916435</v>
      </c>
      <c r="E8" s="1" t="s">
        <v>212</v>
      </c>
    </row>
    <row r="9">
      <c r="A9" s="41" t="s">
        <v>213</v>
      </c>
      <c r="B9" s="41">
        <v>1488.0</v>
      </c>
      <c r="C9" s="41" t="s">
        <v>214</v>
      </c>
      <c r="D9" s="1"/>
    </row>
    <row r="10">
      <c r="A10" s="41" t="s">
        <v>213</v>
      </c>
      <c r="B10" s="41">
        <f>B9/1550</f>
        <v>0.96</v>
      </c>
      <c r="C10" s="41" t="s">
        <v>215</v>
      </c>
      <c r="D10" s="1"/>
    </row>
    <row r="11">
      <c r="A11" s="41" t="s">
        <v>216</v>
      </c>
      <c r="B11" s="41">
        <f>'Aircraft W+B'!C44/B10</f>
        <v>8.135648148</v>
      </c>
      <c r="C11" s="41" t="s">
        <v>217</v>
      </c>
      <c r="D11" s="1"/>
    </row>
    <row r="12">
      <c r="A12" s="41"/>
      <c r="B12" s="41"/>
      <c r="C12" s="41"/>
      <c r="D12" s="1"/>
    </row>
    <row r="13">
      <c r="A13" s="113" t="s">
        <v>218</v>
      </c>
      <c r="B13" s="5"/>
      <c r="C13" s="6"/>
      <c r="D13" s="1"/>
    </row>
    <row r="14">
      <c r="A14" s="41" t="s">
        <v>219</v>
      </c>
      <c r="B14" s="110">
        <v>1.01</v>
      </c>
      <c r="C14" s="41" t="s">
        <v>204</v>
      </c>
      <c r="D14" s="1" t="s">
        <v>220</v>
      </c>
    </row>
    <row r="15">
      <c r="A15" s="41" t="s">
        <v>221</v>
      </c>
      <c r="B15" s="110">
        <v>3.0</v>
      </c>
      <c r="C15" s="41"/>
      <c r="D15" s="1"/>
    </row>
    <row r="16">
      <c r="A16" s="41" t="s">
        <v>222</v>
      </c>
      <c r="B16" s="110">
        <v>3.0</v>
      </c>
      <c r="C16" s="41" t="s">
        <v>211</v>
      </c>
      <c r="D16" s="1"/>
    </row>
    <row r="17">
      <c r="A17" s="41" t="s">
        <v>223</v>
      </c>
      <c r="B17" s="110">
        <v>1.0</v>
      </c>
      <c r="C17" s="41" t="s">
        <v>211</v>
      </c>
      <c r="D17" s="1"/>
    </row>
    <row r="18">
      <c r="A18" s="41" t="s">
        <v>224</v>
      </c>
      <c r="B18" s="116">
        <f>B15*(B14*((B16*B17)/(B9)))</f>
        <v>0.006108870968</v>
      </c>
      <c r="C18" s="41" t="s">
        <v>204</v>
      </c>
      <c r="D18" s="1"/>
    </row>
    <row r="19">
      <c r="A19" s="41"/>
      <c r="B19" s="41"/>
      <c r="C19" s="41"/>
      <c r="D19" s="1"/>
    </row>
    <row r="20">
      <c r="A20" s="117" t="s">
        <v>225</v>
      </c>
      <c r="B20" s="5"/>
      <c r="C20" s="6"/>
    </row>
    <row r="21">
      <c r="A21" s="12" t="s">
        <v>72</v>
      </c>
      <c r="B21" s="118">
        <v>1.225</v>
      </c>
      <c r="C21" s="12" t="s">
        <v>73</v>
      </c>
    </row>
    <row r="22">
      <c r="A22" s="12" t="s">
        <v>72</v>
      </c>
      <c r="B22" s="95">
        <f>B21*0.00194</f>
        <v>0.0023765</v>
      </c>
      <c r="C22" s="89" t="s">
        <v>226</v>
      </c>
    </row>
    <row r="24">
      <c r="A24" s="119" t="s">
        <v>227</v>
      </c>
      <c r="B24" s="5"/>
      <c r="C24" s="6"/>
    </row>
    <row r="25">
      <c r="A25" s="89" t="s">
        <v>228</v>
      </c>
      <c r="B25" s="96">
        <v>0.04</v>
      </c>
      <c r="C25" s="89" t="s">
        <v>204</v>
      </c>
    </row>
    <row r="30">
      <c r="A30" s="1" t="s">
        <v>46</v>
      </c>
      <c r="B30" s="1">
        <v>1.5</v>
      </c>
    </row>
    <row r="31">
      <c r="A31" s="120" t="s">
        <v>229</v>
      </c>
      <c r="B31" s="121">
        <f>(B2+B5)+B30^2/(PI()*B6*B7)</f>
        <v>0.1742344469</v>
      </c>
    </row>
  </sheetData>
  <mergeCells count="5">
    <mergeCell ref="A1:C1"/>
    <mergeCell ref="A4:C4"/>
    <mergeCell ref="A13:C13"/>
    <mergeCell ref="A20:C20"/>
    <mergeCell ref="A24:C24"/>
  </mergeCell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9.25"/>
  </cols>
  <sheetData>
    <row r="1">
      <c r="A1" s="85" t="s">
        <v>230</v>
      </c>
      <c r="B1" s="5"/>
      <c r="C1" s="6"/>
    </row>
    <row r="2">
      <c r="A2" s="41" t="s">
        <v>231</v>
      </c>
      <c r="B2" s="41">
        <v>59.0</v>
      </c>
      <c r="C2" s="12" t="s">
        <v>9</v>
      </c>
      <c r="D2" s="122" t="s">
        <v>232</v>
      </c>
    </row>
    <row r="3">
      <c r="A3" s="41" t="s">
        <v>233</v>
      </c>
      <c r="B3" s="41">
        <v>1.0</v>
      </c>
      <c r="C3" s="12" t="s">
        <v>16</v>
      </c>
      <c r="D3" s="122" t="s">
        <v>232</v>
      </c>
    </row>
    <row r="4">
      <c r="A4" s="12" t="s">
        <v>21</v>
      </c>
      <c r="B4" s="41">
        <v>3.0</v>
      </c>
      <c r="C4" s="12" t="s">
        <v>22</v>
      </c>
      <c r="D4" s="122" t="s">
        <v>232</v>
      </c>
    </row>
    <row r="5">
      <c r="A5" s="12" t="s">
        <v>28</v>
      </c>
      <c r="B5" s="41">
        <v>10.0</v>
      </c>
      <c r="C5" s="12" t="s">
        <v>22</v>
      </c>
      <c r="D5" s="122" t="s">
        <v>232</v>
      </c>
    </row>
    <row r="6">
      <c r="A6" s="89" t="s">
        <v>234</v>
      </c>
      <c r="B6" s="99">
        <f>(2*'Systems Param+Perf'!C7)/'Aircraft W+B'!C44</f>
        <v>1.165139703</v>
      </c>
      <c r="C6" s="89" t="s">
        <v>204</v>
      </c>
    </row>
    <row r="23">
      <c r="A23" s="85" t="s">
        <v>235</v>
      </c>
      <c r="B23" s="5"/>
      <c r="C23" s="6"/>
    </row>
    <row r="24">
      <c r="A24" s="123" t="s">
        <v>236</v>
      </c>
      <c r="B24" s="124">
        <f>('Systems Param+Perf'!$C$4*(('Aircraft W+B'!C44/4)^2)+'Systems Param+Perf'!$C$5*(('Aircraft W+B'!C44/4))+'Systems Param+Perf'!$C$6)</f>
        <v>283.3328834</v>
      </c>
      <c r="C24" s="125" t="s">
        <v>42</v>
      </c>
      <c r="D24" s="1" t="s">
        <v>237</v>
      </c>
    </row>
    <row r="25">
      <c r="A25" s="123" t="s">
        <v>238</v>
      </c>
      <c r="B25" s="126">
        <f>(((('Systems Param+Perf'!$C$36/1000)*'Systems Param+Perf'!$C$39*0.01)/(((4*B24-'Systems Param+Perf'!$C$45+'Systems Param+Perf'!$C$54+'Systems Param+Perf'!$C$61+'Systems Param+Perf'!$C$64)/'Systems Param+Perf'!$C$37)))*60)</f>
        <v>10.95305545</v>
      </c>
      <c r="C25" s="55" t="s">
        <v>9</v>
      </c>
      <c r="E25" s="99"/>
    </row>
    <row r="26">
      <c r="A26" s="41" t="s">
        <v>239</v>
      </c>
      <c r="B26" s="127">
        <f>(4*'Systems Param+Perf'!C7)/'Aircraft W+B'!C44</f>
        <v>2.330279406</v>
      </c>
      <c r="C26" s="41" t="s">
        <v>204</v>
      </c>
    </row>
    <row r="27">
      <c r="A27" s="128"/>
      <c r="B27" s="128"/>
      <c r="C27" s="76"/>
    </row>
    <row r="28">
      <c r="A28" s="128"/>
      <c r="B28" s="128"/>
      <c r="C28" s="76"/>
    </row>
    <row r="29">
      <c r="A29" s="128"/>
      <c r="B29" s="128"/>
      <c r="C29" s="76"/>
    </row>
    <row r="30">
      <c r="A30" s="128"/>
      <c r="B30" s="128"/>
      <c r="C30" s="76"/>
    </row>
    <row r="31">
      <c r="A31" s="85" t="s">
        <v>240</v>
      </c>
      <c r="B31" s="5"/>
      <c r="C31" s="6"/>
    </row>
    <row r="32">
      <c r="A32" s="89" t="s">
        <v>238</v>
      </c>
      <c r="B32" s="41">
        <v>8.0</v>
      </c>
      <c r="C32" s="89" t="s">
        <v>9</v>
      </c>
    </row>
    <row r="33">
      <c r="A33" s="41" t="s">
        <v>241</v>
      </c>
      <c r="B33" s="41">
        <v>59.0</v>
      </c>
      <c r="C33" s="12" t="s">
        <v>9</v>
      </c>
    </row>
    <row r="34">
      <c r="A34" s="41" t="s">
        <v>242</v>
      </c>
      <c r="B34" s="41">
        <v>1.0</v>
      </c>
      <c r="C34" s="12" t="s">
        <v>16</v>
      </c>
    </row>
    <row r="36">
      <c r="A36" s="85" t="s">
        <v>243</v>
      </c>
      <c r="B36" s="5"/>
      <c r="C36" s="6"/>
    </row>
    <row r="37">
      <c r="A37" s="89" t="s">
        <v>244</v>
      </c>
      <c r="B37" s="41">
        <v>1.0</v>
      </c>
      <c r="C37" s="89" t="s">
        <v>9</v>
      </c>
    </row>
    <row r="38">
      <c r="A38" s="89" t="s">
        <v>245</v>
      </c>
      <c r="B38" s="41">
        <v>10.0</v>
      </c>
      <c r="C38" s="89" t="s">
        <v>9</v>
      </c>
    </row>
    <row r="39">
      <c r="A39" s="41" t="s">
        <v>241</v>
      </c>
      <c r="B39" s="41">
        <v>59.0</v>
      </c>
      <c r="C39" s="12" t="s">
        <v>9</v>
      </c>
    </row>
    <row r="40">
      <c r="A40" s="41" t="s">
        <v>242</v>
      </c>
      <c r="B40" s="41">
        <v>1.0</v>
      </c>
      <c r="C40" s="12" t="s">
        <v>16</v>
      </c>
    </row>
    <row r="41">
      <c r="A41" s="41" t="s">
        <v>246</v>
      </c>
      <c r="B41" s="41">
        <v>1.5</v>
      </c>
      <c r="C41" s="41" t="s">
        <v>9</v>
      </c>
    </row>
  </sheetData>
  <mergeCells count="4">
    <mergeCell ref="A1:C1"/>
    <mergeCell ref="A23:C23"/>
    <mergeCell ref="A31:C31"/>
    <mergeCell ref="A36:C36"/>
  </mergeCell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2.63"/>
    <col customWidth="1" min="2" max="2" width="16.75"/>
    <col customWidth="1" min="3" max="3" width="13.13"/>
    <col customWidth="1" min="4" max="4" width="11.38"/>
    <col customWidth="1" min="5" max="7" width="12.63"/>
    <col customWidth="1" min="8" max="8" width="12.5"/>
    <col customWidth="1" min="9" max="9" width="11.13"/>
  </cols>
  <sheetData>
    <row r="1" ht="15.75" customHeight="1">
      <c r="A1" s="2" t="s">
        <v>105</v>
      </c>
      <c r="B1" s="2"/>
      <c r="C1" s="2" t="s">
        <v>106</v>
      </c>
      <c r="D1" s="78" t="s">
        <v>107</v>
      </c>
      <c r="F1" s="76" t="s">
        <v>108</v>
      </c>
      <c r="G1" s="128" t="s">
        <v>247</v>
      </c>
      <c r="H1" s="2" t="s">
        <v>50</v>
      </c>
      <c r="I1" s="2" t="s">
        <v>46</v>
      </c>
      <c r="J1" s="76" t="s">
        <v>109</v>
      </c>
      <c r="K1" s="2" t="s">
        <v>110</v>
      </c>
      <c r="L1" s="2" t="s">
        <v>111</v>
      </c>
      <c r="M1" s="1" t="s">
        <v>248</v>
      </c>
    </row>
    <row r="2" ht="15.75" customHeight="1">
      <c r="A2">
        <f>Metric!K12</f>
        <v>10</v>
      </c>
      <c r="B2" s="76" t="s">
        <v>44</v>
      </c>
      <c r="C2" s="79"/>
      <c r="D2" s="79"/>
      <c r="H2" s="80"/>
      <c r="I2" s="80"/>
      <c r="K2" s="81"/>
      <c r="L2" s="81"/>
      <c r="M2" s="76"/>
      <c r="N2" s="76"/>
    </row>
    <row r="3" ht="15.75" customHeight="1">
      <c r="A3" s="57">
        <f>Metric!K9</f>
        <v>7.662015152</v>
      </c>
      <c r="B3" s="76" t="s">
        <v>28</v>
      </c>
      <c r="C3" s="79"/>
      <c r="D3" s="79"/>
      <c r="H3" s="80"/>
      <c r="I3" s="80"/>
      <c r="K3" s="81"/>
      <c r="L3" s="81"/>
      <c r="M3" s="76"/>
    </row>
    <row r="4" ht="15.75" customHeight="1">
      <c r="A4" s="76">
        <v>4.0</v>
      </c>
      <c r="B4" s="82"/>
      <c r="C4" s="129">
        <f>(((('Systems Param+Perf'!$C$36/1000)*'Systems Param+Perf'!$C$39*0.01)/((((2)*M4-'Systems Param+Perf'!$C$45+'Systems Param+Perf'!$C$54+'Systems Param+Perf'!$C$61+'Systems Param+Perf'!$C$64)/'Systems Param+Perf'!$C$37)))*60)</f>
        <v>48.16084933</v>
      </c>
      <c r="D4" s="79">
        <f t="shared" ref="D4:D80" si="1">C4*60*A4/1000</f>
        <v>11.55860384</v>
      </c>
      <c r="F4" s="1">
        <f>0.5*('Aerodynamic Perf'!$B$21*A4^2*H4*'Aerodynamic Perf'!$B$10)</f>
        <v>22.98891561</v>
      </c>
      <c r="G4">
        <f t="shared" ref="G4:G80" si="2">F4/9.81</f>
        <v>2.343416474</v>
      </c>
      <c r="H4" s="80">
        <f>('Aerodynamic Perf'!$B$18+'Aerodynamic Perf'!$B$26+'Aerodynamic Perf'!$B$2+'Aerodynamic Perf'!$B$25+'Aerodynamic Perf'!$B$5)+I4^2/(PI()*'Aerodynamic Perf'!$B$6*'Aerodynamic Perf'!$B$7)</f>
        <v>2.443549703</v>
      </c>
      <c r="I4" s="80">
        <f>('Aircraft W+B'!$C$45)/(0.5*'Aerodynamic Perf'!$B$21*A4^2*'Aerodynamic Perf'!$B$10)</f>
        <v>8.135648148</v>
      </c>
      <c r="J4">
        <f>I4*0.5*'Aerodynamic Perf'!$B$21*A4^2*'Aerodynamic Perf'!$B$10</f>
        <v>76.54017778</v>
      </c>
      <c r="K4" s="81">
        <f t="shared" ref="K4:K80" si="3">I4/H4</f>
        <v>3.329438373</v>
      </c>
      <c r="L4" s="81">
        <f>((((Metric!$K$5*9.80665*A4)/K4))/Metric!$C$28)*100/Metric!$C$31</f>
        <v>5.72576385</v>
      </c>
      <c r="M4" s="1">
        <f>('Systems Param+Perf'!$C$4*((G4/2)^2)+'Systems Param+Perf'!$C$5*((G4/2))+'Systems Param+Perf'!$C$6)</f>
        <v>151.3953524</v>
      </c>
    </row>
    <row r="5" ht="15.75" customHeight="1">
      <c r="A5" s="76">
        <f t="shared" ref="A5:A80" si="4">A4+0.5</f>
        <v>4.5</v>
      </c>
      <c r="B5" s="82"/>
      <c r="C5" s="129">
        <f>(((('Systems Param+Perf'!$C$36/1000)*'Systems Param+Perf'!$C$39*0.01)/((((2)*M5-'Systems Param+Perf'!$C$45+'Systems Param+Perf'!$C$54+'Systems Param+Perf'!$C$61+'Systems Param+Perf'!$C$64)/'Systems Param+Perf'!$C$37)))*60)</f>
        <v>64.215556</v>
      </c>
      <c r="D5" s="79">
        <f t="shared" si="1"/>
        <v>17.33820012</v>
      </c>
      <c r="F5" s="1">
        <f>0.5*('Aerodynamic Perf'!$B$21*A5^2*H5*'Aerodynamic Perf'!$B$10)</f>
        <v>18.79980813</v>
      </c>
      <c r="G5">
        <f t="shared" si="2"/>
        <v>1.916392266</v>
      </c>
      <c r="H5" s="80">
        <f>('Aerodynamic Perf'!$B$18+'Aerodynamic Perf'!$B$26+'Aerodynamic Perf'!$B$2+'Aerodynamic Perf'!$B$25+'Aerodynamic Perf'!$B$5)+I5^2/(PI()*'Aerodynamic Perf'!$B$6*'Aerodynamic Perf'!$B$7)</f>
        <v>1.578887052</v>
      </c>
      <c r="I5" s="80">
        <f>('Aircraft W+B'!$C$45)/(0.5*'Aerodynamic Perf'!$B$21*A5^2*'Aerodynamic Perf'!$B$10)</f>
        <v>6.428166438</v>
      </c>
      <c r="J5">
        <f>I5*0.5*'Aerodynamic Perf'!$B$21*A5^2*'Aerodynamic Perf'!$B$10</f>
        <v>76.54017778</v>
      </c>
      <c r="K5" s="81">
        <f t="shared" si="3"/>
        <v>4.071327603</v>
      </c>
      <c r="L5" s="81">
        <f>((((Metric!$K$5*9.80665*A5)/K5))/Metric!$C$28)*100/Metric!$C$31</f>
        <v>5.267698207</v>
      </c>
      <c r="M5" s="1">
        <f>('Systems Param+Perf'!$C$4*((G5/2)^2)+'Systems Param+Perf'!$C$5*((G5/2))+'Systems Param+Perf'!$C$6)</f>
        <v>120.8324577</v>
      </c>
    </row>
    <row r="6" ht="15.75" customHeight="1">
      <c r="A6" s="76">
        <f t="shared" si="4"/>
        <v>5</v>
      </c>
      <c r="B6" s="82"/>
      <c r="C6" s="129">
        <f>(((('Systems Param+Perf'!$C$36/1000)*'Systems Param+Perf'!$C$39*0.01)/((((2)*M6-'Systems Param+Perf'!$C$45+'Systems Param+Perf'!$C$54+'Systems Param+Perf'!$C$61+'Systems Param+Perf'!$C$64)/'Systems Param+Perf'!$C$37)))*60)</f>
        <v>81.52171653</v>
      </c>
      <c r="D6" s="79">
        <f t="shared" si="1"/>
        <v>24.45651496</v>
      </c>
      <c r="F6" s="1">
        <f>0.5*('Aerodynamic Perf'!$B$21*A6^2*H6*'Aerodynamic Perf'!$B$10)</f>
        <v>15.94625183</v>
      </c>
      <c r="G6">
        <f t="shared" si="2"/>
        <v>1.62550987</v>
      </c>
      <c r="H6" s="80">
        <f>('Aerodynamic Perf'!$B$18+'Aerodynamic Perf'!$B$26+'Aerodynamic Perf'!$B$2+'Aerodynamic Perf'!$B$25+'Aerodynamic Perf'!$B$5)+I6^2/(PI()*'Aerodynamic Perf'!$B$6*'Aerodynamic Perf'!$B$7)</f>
        <v>1.084779036</v>
      </c>
      <c r="I6" s="80">
        <f>('Aircraft W+B'!$C$45)/(0.5*'Aerodynamic Perf'!$B$21*A6^2*'Aerodynamic Perf'!$B$10)</f>
        <v>5.206814815</v>
      </c>
      <c r="J6">
        <f>I6*0.5*'Aerodynamic Perf'!$B$21*A6^2*'Aerodynamic Perf'!$B$10</f>
        <v>76.54017778</v>
      </c>
      <c r="K6" s="81">
        <f t="shared" si="3"/>
        <v>4.799885178</v>
      </c>
      <c r="L6" s="81">
        <f>((((Metric!$K$5*9.80665*A6)/K6))/Metric!$C$28)*100/Metric!$C$31</f>
        <v>4.964592165</v>
      </c>
      <c r="M6" s="1">
        <f>('Systems Param+Perf'!$C$4*((G6/2)^2)+'Systems Param+Perf'!$C$5*((G6/2))+'Systems Param+Perf'!$C$6)</f>
        <v>101.369284</v>
      </c>
    </row>
    <row r="7" ht="15.75" customHeight="1">
      <c r="A7" s="76">
        <f t="shared" si="4"/>
        <v>5.5</v>
      </c>
      <c r="B7" s="82"/>
      <c r="C7" s="129">
        <f>(((('Systems Param+Perf'!$C$36/1000)*'Systems Param+Perf'!$C$39*0.01)/((((2)*M7-'Systems Param+Perf'!$C$45+'Systems Param+Perf'!$C$54+'Systems Param+Perf'!$C$61+'Systems Param+Perf'!$C$64)/'Systems Param+Perf'!$C$37)))*60)</f>
        <v>99.03636702</v>
      </c>
      <c r="D7" s="79">
        <f t="shared" si="1"/>
        <v>32.68200112</v>
      </c>
      <c r="F7" s="1">
        <f>0.5*('Aerodynamic Perf'!$B$21*A7^2*H7*'Aerodynamic Perf'!$B$10)</f>
        <v>13.97996439</v>
      </c>
      <c r="G7">
        <f t="shared" si="2"/>
        <v>1.425072823</v>
      </c>
      <c r="H7" s="80">
        <f>('Aerodynamic Perf'!$B$18+'Aerodynamic Perf'!$B$26+'Aerodynamic Perf'!$B$2+'Aerodynamic Perf'!$B$25+'Aerodynamic Perf'!$B$5)+I7^2/(PI()*'Aerodynamic Perf'!$B$6*'Aerodynamic Perf'!$B$7)</f>
        <v>0.7859652775</v>
      </c>
      <c r="I7" s="80">
        <f>('Aircraft W+B'!$C$45)/(0.5*'Aerodynamic Perf'!$B$21*A7^2*'Aerodynamic Perf'!$B$10)</f>
        <v>4.30315274</v>
      </c>
      <c r="J7">
        <f>I7*0.5*'Aerodynamic Perf'!$B$21*A7^2*'Aerodynamic Perf'!$B$10</f>
        <v>76.54017778</v>
      </c>
      <c r="K7" s="81">
        <f t="shared" si="3"/>
        <v>5.474990897</v>
      </c>
      <c r="L7" s="81">
        <f>((((Metric!$K$5*9.80665*A7)/K7))/Metric!$C$28)*100/Metric!$C$31</f>
        <v>4.787664505</v>
      </c>
      <c r="M7" s="1">
        <f>('Systems Param+Perf'!$C$4*((G7/2)^2)+'Systems Param+Perf'!$C$5*((G7/2))+'Systems Param+Perf'!$C$6)</f>
        <v>88.59725334</v>
      </c>
    </row>
    <row r="8" ht="15.75" customHeight="1">
      <c r="A8" s="76">
        <f t="shared" si="4"/>
        <v>6</v>
      </c>
      <c r="B8" s="82"/>
      <c r="C8" s="129">
        <f>(((('Systems Param+Perf'!$C$36/1000)*'Systems Param+Perf'!$C$39*0.01)/((((2)*M8-'Systems Param+Perf'!$C$45+'Systems Param+Perf'!$C$54+'Systems Param+Perf'!$C$61+'Systems Param+Perf'!$C$64)/'Systems Param+Perf'!$C$37)))*60)</f>
        <v>115.4664547</v>
      </c>
      <c r="D8" s="79">
        <f t="shared" si="1"/>
        <v>41.56792368</v>
      </c>
      <c r="F8" s="1">
        <f>0.5*('Aerodynamic Perf'!$B$21*A8^2*H8*'Aerodynamic Perf'!$B$10)</f>
        <v>12.63125185</v>
      </c>
      <c r="G8">
        <f t="shared" si="2"/>
        <v>1.287589383</v>
      </c>
      <c r="H8" s="80">
        <f>('Aerodynamic Perf'!$B$18+'Aerodynamic Perf'!$B$26+'Aerodynamic Perf'!$B$2+'Aerodynamic Perf'!$B$25+'Aerodynamic Perf'!$B$5)+I8^2/(PI()*'Aerodynamic Perf'!$B$6*'Aerodynamic Perf'!$B$7)</f>
        <v>0.5967144674</v>
      </c>
      <c r="I8" s="80">
        <f>('Aircraft W+B'!$C$45)/(0.5*'Aerodynamic Perf'!$B$21*A8^2*'Aerodynamic Perf'!$B$10)</f>
        <v>3.615843621</v>
      </c>
      <c r="J8">
        <f>I8*0.5*'Aerodynamic Perf'!$B$21*A8^2*'Aerodynamic Perf'!$B$10</f>
        <v>76.54017778</v>
      </c>
      <c r="K8" s="81">
        <f t="shared" si="3"/>
        <v>6.059587657</v>
      </c>
      <c r="L8" s="81">
        <f>((((Metric!$K$5*9.80665*A8)/K8))/Metric!$C$28)*100/Metric!$C$31</f>
        <v>4.719028494</v>
      </c>
      <c r="M8" s="1">
        <f>('Systems Param+Perf'!$C$4*((G8/2)^2)+'Systems Param+Perf'!$C$5*((G8/2))+'Systems Param+Perf'!$C$6)</f>
        <v>80.13831533</v>
      </c>
    </row>
    <row r="9" ht="15.75" customHeight="1">
      <c r="A9" s="76">
        <f t="shared" si="4"/>
        <v>6.5</v>
      </c>
      <c r="B9" s="82"/>
      <c r="C9" s="129">
        <f>(((('Systems Param+Perf'!$C$36/1000)*'Systems Param+Perf'!$C$39*0.01)/((((2)*M9-'Systems Param+Perf'!$C$45+'Systems Param+Perf'!$C$54+'Systems Param+Perf'!$C$61+'Systems Param+Perf'!$C$64)/'Systems Param+Perf'!$C$37)))*60)</f>
        <v>129.4728336</v>
      </c>
      <c r="D9" s="79">
        <f t="shared" si="1"/>
        <v>50.49440511</v>
      </c>
      <c r="F9" s="1">
        <f>0.5*('Aerodynamic Perf'!$B$21*A9^2*H9*'Aerodynamic Perf'!$B$10)</f>
        <v>11.72996774</v>
      </c>
      <c r="G9">
        <f t="shared" si="2"/>
        <v>1.195715366</v>
      </c>
      <c r="H9" s="80">
        <f>('Aerodynamic Perf'!$B$18+'Aerodynamic Perf'!$B$26+'Aerodynamic Perf'!$B$2+'Aerodynamic Perf'!$B$25+'Aerodynamic Perf'!$B$5)+I9^2/(PI()*'Aerodynamic Perf'!$B$6*'Aerodynamic Perf'!$B$7)</f>
        <v>0.4721638987</v>
      </c>
      <c r="I9" s="80">
        <f>('Aircraft W+B'!$C$45)/(0.5*'Aerodynamic Perf'!$B$21*A9^2*'Aerodynamic Perf'!$B$10)</f>
        <v>3.080955512</v>
      </c>
      <c r="J9">
        <f>I9*0.5*'Aerodynamic Perf'!$B$21*A9^2*'Aerodynamic Perf'!$B$10</f>
        <v>76.54017778</v>
      </c>
      <c r="K9" s="81">
        <f t="shared" si="3"/>
        <v>6.525182294</v>
      </c>
      <c r="L9" s="81">
        <f>((((Metric!$K$5*9.80665*A9)/K9))/Metric!$C$28)*100/Metric!$C$31</f>
        <v>4.747501703</v>
      </c>
      <c r="M9" s="1">
        <f>('Systems Param+Perf'!$C$4*((G9/2)^2)+'Systems Param+Perf'!$C$5*((G9/2))+'Systems Param+Perf'!$C$6)</f>
        <v>74.6223963</v>
      </c>
    </row>
    <row r="10" ht="15.75" customHeight="1">
      <c r="A10" s="76">
        <f t="shared" si="4"/>
        <v>7</v>
      </c>
      <c r="B10" s="82"/>
      <c r="C10" s="129">
        <f>(((('Systems Param+Perf'!$C$36/1000)*'Systems Param+Perf'!$C$39*0.01)/((((2)*M10-'Systems Param+Perf'!$C$45+'Systems Param+Perf'!$C$54+'Systems Param+Perf'!$C$61+'Systems Param+Perf'!$C$64)/'Systems Param+Perf'!$C$37)))*60)</f>
        <v>139.952374</v>
      </c>
      <c r="D10" s="79">
        <f t="shared" si="1"/>
        <v>58.7799971</v>
      </c>
      <c r="F10" s="1">
        <f>0.5*('Aerodynamic Perf'!$B$21*A10^2*H10*'Aerodynamic Perf'!$B$10)</f>
        <v>11.16446703</v>
      </c>
      <c r="G10">
        <f t="shared" si="2"/>
        <v>1.138070033</v>
      </c>
      <c r="H10" s="80">
        <f>('Aerodynamic Perf'!$B$18+'Aerodynamic Perf'!$B$26+'Aerodynamic Perf'!$B$2+'Aerodynamic Perf'!$B$25+'Aerodynamic Perf'!$B$5)+I10^2/(PI()*'Aerodynamic Perf'!$B$6*'Aerodynamic Perf'!$B$7)</f>
        <v>0.3874936494</v>
      </c>
      <c r="I10" s="80">
        <f>('Aircraft W+B'!$C$45)/(0.5*'Aerodynamic Perf'!$B$21*A10^2*'Aerodynamic Perf'!$B$10)</f>
        <v>2.656538171</v>
      </c>
      <c r="J10">
        <f>I10*0.5*'Aerodynamic Perf'!$B$21*A10^2*'Aerodynamic Perf'!$B$10</f>
        <v>76.54017778</v>
      </c>
      <c r="K10" s="81">
        <f t="shared" si="3"/>
        <v>6.855694732</v>
      </c>
      <c r="L10" s="81">
        <f>((((Metric!$K$5*9.80665*A10)/K10))/Metric!$C$28)*100/Metric!$C$31</f>
        <v>4.866211608</v>
      </c>
      <c r="M10" s="1">
        <f>('Systems Param+Perf'!$C$4*((G10/2)^2)+'Systems Param+Perf'!$C$5*((G10/2))+'Systems Param+Perf'!$C$6)</f>
        <v>71.21745359</v>
      </c>
    </row>
    <row r="11" ht="15.75" customHeight="1">
      <c r="A11" s="76">
        <f t="shared" si="4"/>
        <v>7.5</v>
      </c>
      <c r="B11" s="82"/>
      <c r="C11" s="129">
        <f>(((('Systems Param+Perf'!$C$36/1000)*'Systems Param+Perf'!$C$39*0.01)/((((2)*M11-'Systems Param+Perf'!$C$45+'Systems Param+Perf'!$C$54+'Systems Param+Perf'!$C$61+'Systems Param+Perf'!$C$64)/'Systems Param+Perf'!$C$37)))*60)</f>
        <v>146.2851547</v>
      </c>
      <c r="D11" s="79">
        <f t="shared" si="1"/>
        <v>65.82831961</v>
      </c>
      <c r="F11" s="1">
        <f>0.5*('Aerodynamic Perf'!$B$21*A11^2*H11*'Aerodynamic Perf'!$B$10)</f>
        <v>10.85902932</v>
      </c>
      <c r="G11">
        <f t="shared" si="2"/>
        <v>1.106934691</v>
      </c>
      <c r="H11" s="80">
        <f>('Aerodynamic Perf'!$B$18+'Aerodynamic Perf'!$B$26+'Aerodynamic Perf'!$B$2+'Aerodynamic Perf'!$B$25+'Aerodynamic Perf'!$B$5)+I11^2/(PI()*'Aerodynamic Perf'!$B$6*'Aerodynamic Perf'!$B$7)</f>
        <v>0.3283153233</v>
      </c>
      <c r="I11" s="80">
        <f>('Aircraft W+B'!$C$45)/(0.5*'Aerodynamic Perf'!$B$21*A11^2*'Aerodynamic Perf'!$B$10)</f>
        <v>2.314139918</v>
      </c>
      <c r="J11">
        <f>I11*0.5*'Aerodynamic Perf'!$B$21*A11^2*'Aerodynamic Perf'!$B$10</f>
        <v>76.54017778</v>
      </c>
      <c r="K11" s="81">
        <f t="shared" si="3"/>
        <v>7.048528514</v>
      </c>
      <c r="L11" s="81">
        <f>((((Metric!$K$5*9.80665*A11)/K11))/Metric!$C$28)*100/Metric!$C$31</f>
        <v>5.071158959</v>
      </c>
      <c r="M11" s="1">
        <f>('Systems Param+Perf'!$C$4*((G11/2)^2)+'Systems Param+Perf'!$C$5*((G11/2))+'Systems Param+Perf'!$C$6)</f>
        <v>69.39632583</v>
      </c>
    </row>
    <row r="12" ht="15.75" customHeight="1">
      <c r="A12" s="76">
        <f t="shared" si="4"/>
        <v>8</v>
      </c>
      <c r="B12" s="82"/>
      <c r="C12" s="129">
        <f>(((('Systems Param+Perf'!$C$36/1000)*'Systems Param+Perf'!$C$39*0.01)/((((2)*M12-'Systems Param+Perf'!$C$45+'Systems Param+Perf'!$C$54+'Systems Param+Perf'!$C$61+'Systems Param+Perf'!$C$64)/'Systems Param+Perf'!$C$37)))*60)</f>
        <v>148.4347069</v>
      </c>
      <c r="D12" s="79">
        <f t="shared" si="1"/>
        <v>71.24865929</v>
      </c>
      <c r="F12" s="1">
        <f>0.5*('Aerodynamic Perf'!$B$21*A12^2*H12*'Aerodynamic Perf'!$B$10)</f>
        <v>10.76082987</v>
      </c>
      <c r="G12">
        <f t="shared" si="2"/>
        <v>1.096924553</v>
      </c>
      <c r="H12" s="80">
        <f>('Aerodynamic Perf'!$B$18+'Aerodynamic Perf'!$B$26+'Aerodynamic Perf'!$B$2+'Aerodynamic Perf'!$B$25+'Aerodynamic Perf'!$B$5)+I12^2/(PI()*'Aerodynamic Perf'!$B$6*'Aerodynamic Perf'!$B$7)</f>
        <v>0.285948923</v>
      </c>
      <c r="I12" s="80">
        <f>('Aircraft W+B'!$C$45)/(0.5*'Aerodynamic Perf'!$B$21*A12^2*'Aerodynamic Perf'!$B$10)</f>
        <v>2.033912037</v>
      </c>
      <c r="J12">
        <f>I12*0.5*'Aerodynamic Perf'!$B$21*A12^2*'Aerodynamic Perf'!$B$10</f>
        <v>76.54017778</v>
      </c>
      <c r="K12" s="81">
        <f t="shared" si="3"/>
        <v>7.11285084</v>
      </c>
      <c r="L12" s="81">
        <f>((((Metric!$K$5*9.80665*A12)/K12))/Metric!$C$28)*100/Metric!$C$31</f>
        <v>5.360319879</v>
      </c>
      <c r="M12" s="1">
        <f>('Systems Param+Perf'!$C$4*((G12/2)^2)+'Systems Param+Perf'!$C$5*((G12/2))+'Systems Param+Perf'!$C$6)</f>
        <v>68.81350003</v>
      </c>
    </row>
    <row r="13" ht="15.75" customHeight="1">
      <c r="A13" s="76">
        <f t="shared" si="4"/>
        <v>8.5</v>
      </c>
      <c r="B13" s="82"/>
      <c r="C13" s="129">
        <f>(((('Systems Param+Perf'!$C$36/1000)*'Systems Param+Perf'!$C$39*0.01)/((((2)*M13-'Systems Param+Perf'!$C$45+'Systems Param+Perf'!$C$54+'Systems Param+Perf'!$C$61+'Systems Param+Perf'!$C$64)/'Systems Param+Perf'!$C$37)))*60)</f>
        <v>146.8687116</v>
      </c>
      <c r="D13" s="79">
        <f t="shared" si="1"/>
        <v>74.90304291</v>
      </c>
      <c r="F13" s="1">
        <f>0.5*('Aerodynamic Perf'!$B$21*A13^2*H13*'Aerodynamic Perf'!$B$10)</f>
        <v>10.83210785</v>
      </c>
      <c r="G13">
        <f t="shared" si="2"/>
        <v>1.104190403</v>
      </c>
      <c r="H13" s="80">
        <f>('Aerodynamic Perf'!$B$18+'Aerodynamic Perf'!$B$26+'Aerodynamic Perf'!$B$2+'Aerodynamic Perf'!$B$25+'Aerodynamic Perf'!$B$5)+I13^2/(PI()*'Aerodynamic Perf'!$B$6*'Aerodynamic Perf'!$B$7)</f>
        <v>0.254975116</v>
      </c>
      <c r="I13" s="80">
        <f>('Aircraft W+B'!$C$45)/(0.5*'Aerodynamic Perf'!$B$21*A13^2*'Aerodynamic Perf'!$B$10)</f>
        <v>1.801666026</v>
      </c>
      <c r="J13">
        <f>I13*0.5*'Aerodynamic Perf'!$B$21*A13^2*'Aerodynamic Perf'!$B$10</f>
        <v>76.54017778</v>
      </c>
      <c r="K13" s="81">
        <f t="shared" si="3"/>
        <v>7.066046501</v>
      </c>
      <c r="L13" s="81">
        <f>((((Metric!$K$5*9.80665*A13)/K13))/Metric!$C$28)*100/Metric!$C$31</f>
        <v>5.733064874</v>
      </c>
      <c r="M13" s="1">
        <f>('Systems Param+Perf'!$C$4*((G13/2)^2)+'Systems Param+Perf'!$C$5*((G13/2))+'Systems Param+Perf'!$C$6)</f>
        <v>69.23641416</v>
      </c>
    </row>
    <row r="14" ht="15.75" customHeight="1">
      <c r="A14" s="76">
        <f t="shared" si="4"/>
        <v>9</v>
      </c>
      <c r="C14" s="129">
        <f>(((('Systems Param+Perf'!$C$36/1000)*'Systems Param+Perf'!$C$39*0.01)/((((2)*M14-'Systems Param+Perf'!$C$45+'Systems Param+Perf'!$C$54+'Systems Param+Perf'!$C$61+'Systems Param+Perf'!$C$64)/'Systems Param+Perf'!$C$37)))*60)</f>
        <v>142.3621135</v>
      </c>
      <c r="D14" s="79">
        <f t="shared" si="1"/>
        <v>76.87554128</v>
      </c>
      <c r="F14" s="1">
        <f>0.5*('Aerodynamic Perf'!$B$21*A14^2*H14*'Aerodynamic Perf'!$B$10)</f>
        <v>11.04529076</v>
      </c>
      <c r="G14">
        <f t="shared" si="2"/>
        <v>1.125921586</v>
      </c>
      <c r="H14" s="80">
        <f>('Aerodynamic Perf'!$B$18+'Aerodynamic Perf'!$B$26+'Aerodynamic Perf'!$B$2+'Aerodynamic Perf'!$B$25+'Aerodynamic Perf'!$B$5)+I14^2/(PI()*'Aerodynamic Perf'!$B$6*'Aerodynamic Perf'!$B$7)</f>
        <v>0.2319075073</v>
      </c>
      <c r="I14" s="80">
        <f>('Aircraft W+B'!$C$45)/(0.5*'Aerodynamic Perf'!$B$21*A14^2*'Aerodynamic Perf'!$B$10)</f>
        <v>1.60704161</v>
      </c>
      <c r="J14">
        <f>I14*0.5*'Aerodynamic Perf'!$B$21*A14^2*'Aerodynamic Perf'!$B$10</f>
        <v>76.54017778</v>
      </c>
      <c r="K14" s="81">
        <f t="shared" si="3"/>
        <v>6.929666177</v>
      </c>
      <c r="L14" s="81">
        <f>((((Metric!$K$5*9.80665*A14)/K14))/Metric!$C$28)*100/Metric!$C$31</f>
        <v>6.189771503</v>
      </c>
      <c r="M14" s="1">
        <f>('Systems Param+Perf'!$C$4*((G14/2)^2)+'Systems Param+Perf'!$C$5*((G14/2))+'Systems Param+Perf'!$C$6)</f>
        <v>70.50538491</v>
      </c>
    </row>
    <row r="15" ht="15.75" customHeight="1">
      <c r="A15" s="76">
        <f t="shared" si="4"/>
        <v>9.5</v>
      </c>
      <c r="C15" s="129">
        <f>(((('Systems Param+Perf'!$C$36/1000)*'Systems Param+Perf'!$C$39*0.01)/((((2)*M15-'Systems Param+Perf'!$C$45+'Systems Param+Perf'!$C$54+'Systems Param+Perf'!$C$61+'Systems Param+Perf'!$C$64)/'Systems Param+Perf'!$C$37)))*60)</f>
        <v>135.7826263</v>
      </c>
      <c r="D15" s="79">
        <f t="shared" si="1"/>
        <v>77.39609701</v>
      </c>
      <c r="F15" s="1">
        <f>0.5*('Aerodynamic Perf'!$B$21*A15^2*H15*'Aerodynamic Perf'!$B$10)</f>
        <v>11.37986526</v>
      </c>
      <c r="G15">
        <f t="shared" si="2"/>
        <v>1.160027039</v>
      </c>
      <c r="H15" s="80">
        <f>('Aerodynamic Perf'!$B$18+'Aerodynamic Perf'!$B$26+'Aerodynamic Perf'!$B$2+'Aerodynamic Perf'!$B$25+'Aerodynamic Perf'!$B$5)+I15^2/(PI()*'Aerodynamic Perf'!$B$6*'Aerodynamic Perf'!$B$7)</f>
        <v>0.21444335</v>
      </c>
      <c r="I15" s="80">
        <f>('Aircraft W+B'!$C$45)/(0.5*'Aerodynamic Perf'!$B$21*A15^2*'Aerodynamic Perf'!$B$10)</f>
        <v>1.442330974</v>
      </c>
      <c r="J15">
        <f>I15*0.5*'Aerodynamic Perf'!$B$21*A15^2*'Aerodynamic Perf'!$B$10</f>
        <v>76.54017778</v>
      </c>
      <c r="K15" s="81">
        <f t="shared" si="3"/>
        <v>6.725930057</v>
      </c>
      <c r="L15" s="81">
        <f>((((Metric!$K$5*9.80665*A15)/K15))/Metric!$C$28)*100/Metric!$C$31</f>
        <v>6.731559364</v>
      </c>
      <c r="M15" s="1">
        <f>('Systems Param+Perf'!$C$4*((G15/2)^2)+'Systems Param+Perf'!$C$5*((G15/2))+'Systems Param+Perf'!$C$6)</f>
        <v>72.50930273</v>
      </c>
    </row>
    <row r="16" ht="15.75" customHeight="1">
      <c r="A16" s="76">
        <f t="shared" si="4"/>
        <v>10</v>
      </c>
      <c r="C16" s="129">
        <f>(((('Systems Param+Perf'!$C$36/1000)*'Systems Param+Perf'!$C$39*0.01)/((((2)*M16-'Systems Param+Perf'!$C$45+'Systems Param+Perf'!$C$54+'Systems Param+Perf'!$C$61+'Systems Param+Perf'!$C$64)/'Systems Param+Perf'!$C$37)))*60)</f>
        <v>127.9311428</v>
      </c>
      <c r="D16" s="79">
        <f t="shared" si="1"/>
        <v>76.75868566</v>
      </c>
      <c r="F16" s="1">
        <f>0.5*('Aerodynamic Perf'!$B$21*A16^2*H16*'Aerodynamic Perf'!$B$10)</f>
        <v>11.82031447</v>
      </c>
      <c r="G16">
        <f t="shared" si="2"/>
        <v>1.204925022</v>
      </c>
      <c r="H16" s="80">
        <f>('Aerodynamic Perf'!$B$18+'Aerodynamic Perf'!$B$26+'Aerodynamic Perf'!$B$2+'Aerodynamic Perf'!$B$25+'Aerodynamic Perf'!$B$5)+I16^2/(PI()*'Aerodynamic Perf'!$B$6*'Aerodynamic Perf'!$B$7)</f>
        <v>0.2010257563</v>
      </c>
      <c r="I16" s="80">
        <f>('Aircraft W+B'!$C$45)/(0.5*'Aerodynamic Perf'!$B$21*A16^2*'Aerodynamic Perf'!$B$10)</f>
        <v>1.301703704</v>
      </c>
      <c r="J16">
        <f>I16*0.5*'Aerodynamic Perf'!$B$21*A16^2*'Aerodynamic Perf'!$B$10</f>
        <v>76.54017778</v>
      </c>
      <c r="K16" s="81">
        <f t="shared" si="3"/>
        <v>6.475308079</v>
      </c>
      <c r="L16" s="81">
        <f>((((Metric!$K$5*9.80665*A16)/K16))/Metric!$C$28)*100/Metric!$C$31</f>
        <v>7.360104587</v>
      </c>
      <c r="M16" s="1">
        <f>('Systems Param+Perf'!$C$4*((G16/2)^2)+'Systems Param+Perf'!$C$5*((G16/2))+'Systems Param+Perf'!$C$6)</f>
        <v>75.17038153</v>
      </c>
    </row>
    <row r="17" ht="15.75" customHeight="1">
      <c r="A17" s="76">
        <f t="shared" si="4"/>
        <v>10.5</v>
      </c>
      <c r="C17" s="129">
        <f>(((('Systems Param+Perf'!$C$36/1000)*'Systems Param+Perf'!$C$39*0.01)/((((2)*M17-'Systems Param+Perf'!$C$45+'Systems Param+Perf'!$C$54+'Systems Param+Perf'!$C$61+'Systems Param+Perf'!$C$64)/'Systems Param+Perf'!$C$37)))*60)</f>
        <v>119.4587291</v>
      </c>
      <c r="D17" s="79">
        <f t="shared" si="1"/>
        <v>75.25899933</v>
      </c>
      <c r="F17" s="1">
        <f>0.5*('Aerodynamic Perf'!$B$21*A17^2*H17*'Aerodynamic Perf'!$B$10)</f>
        <v>12.35472566</v>
      </c>
      <c r="G17">
        <f t="shared" si="2"/>
        <v>1.259401189</v>
      </c>
      <c r="H17" s="80">
        <f>('Aerodynamic Perf'!$B$18+'Aerodynamic Perf'!$B$26+'Aerodynamic Perf'!$B$2+'Aerodynamic Perf'!$B$25+'Aerodynamic Perf'!$B$5)+I17^2/(PI()*'Aerodynamic Perf'!$B$6*'Aerodynamic Perf'!$B$7)</f>
        <v>0.1905799383</v>
      </c>
      <c r="I17" s="80">
        <f>('Aircraft W+B'!$C$45)/(0.5*'Aerodynamic Perf'!$B$21*A17^2*'Aerodynamic Perf'!$B$10)</f>
        <v>1.180683631</v>
      </c>
      <c r="J17">
        <f>I17*0.5*'Aerodynamic Perf'!$B$21*A17^2*'Aerodynamic Perf'!$B$10</f>
        <v>76.54017778</v>
      </c>
      <c r="K17" s="81">
        <f t="shared" si="3"/>
        <v>6.19521468</v>
      </c>
      <c r="L17" s="81">
        <f>((((Metric!$K$5*9.80665*A17)/K17))/Metric!$C$28)*100/Metric!$C$31</f>
        <v>8.077507321</v>
      </c>
      <c r="M17" s="1">
        <f>('Systems Param+Perf'!$C$4*((G17/2)^2)+'Systems Param+Perf'!$C$5*((G17/2))+'Systems Param+Perf'!$C$6)</f>
        <v>78.43430132</v>
      </c>
    </row>
    <row r="18" ht="15.75" customHeight="1">
      <c r="A18" s="76">
        <f t="shared" si="4"/>
        <v>11</v>
      </c>
      <c r="C18" s="129">
        <f>(((('Systems Param+Perf'!$C$36/1000)*'Systems Param+Perf'!$C$39*0.01)/((((2)*M18-'Systems Param+Perf'!$C$45+'Systems Param+Perf'!$C$54+'Systems Param+Perf'!$C$61+'Systems Param+Perf'!$C$64)/'Systems Param+Perf'!$C$37)))*60)</f>
        <v>110.8460463</v>
      </c>
      <c r="D18" s="79">
        <f t="shared" si="1"/>
        <v>73.15839055</v>
      </c>
      <c r="F18" s="1">
        <f>0.5*('Aerodynamic Perf'!$B$21*A18^2*H18*'Aerodynamic Perf'!$B$10)</f>
        <v>12.97383043</v>
      </c>
      <c r="G18">
        <f t="shared" si="2"/>
        <v>1.322510747</v>
      </c>
      <c r="H18" s="80">
        <f>('Aerodynamic Perf'!$B$18+'Aerodynamic Perf'!$B$26+'Aerodynamic Perf'!$B$2+'Aerodynamic Perf'!$B$25+'Aerodynamic Perf'!$B$5)+I18^2/(PI()*'Aerodynamic Perf'!$B$6*'Aerodynamic Perf'!$B$7)</f>
        <v>0.1823498964</v>
      </c>
      <c r="I18" s="80">
        <f>('Aircraft W+B'!$C$45)/(0.5*'Aerodynamic Perf'!$B$21*A18^2*'Aerodynamic Perf'!$B$10)</f>
        <v>1.075788185</v>
      </c>
      <c r="J18">
        <f>I18*0.5*'Aerodynamic Perf'!$B$21*A18^2*'Aerodynamic Perf'!$B$10</f>
        <v>76.54017778</v>
      </c>
      <c r="K18" s="81">
        <f t="shared" si="3"/>
        <v>5.899582102</v>
      </c>
      <c r="L18" s="81">
        <f>((((Metric!$K$5*9.80665*A18)/K18))/Metric!$C$28)*100/Metric!$C$31</f>
        <v>8.886195371</v>
      </c>
      <c r="M18" s="1">
        <f>('Systems Param+Perf'!$C$4*((G18/2)^2)+'Systems Param+Perf'!$C$5*((G18/2))+'Systems Param+Perf'!$C$6)</f>
        <v>82.26366708</v>
      </c>
    </row>
    <row r="19" ht="15.75" customHeight="1">
      <c r="A19" s="76">
        <f t="shared" si="4"/>
        <v>11.5</v>
      </c>
      <c r="C19" s="129">
        <f>(((('Systems Param+Perf'!$C$36/1000)*'Systems Param+Perf'!$C$39*0.01)/((((2)*M19-'Systems Param+Perf'!$C$45+'Systems Param+Perf'!$C$54+'Systems Param+Perf'!$C$61+'Systems Param+Perf'!$C$64)/'Systems Param+Perf'!$C$37)))*60)</f>
        <v>102.4195331</v>
      </c>
      <c r="D19" s="79">
        <f t="shared" si="1"/>
        <v>70.66947784</v>
      </c>
      <c r="F19" s="1">
        <f>0.5*('Aerodynamic Perf'!$B$21*A19^2*H19*'Aerodynamic Perf'!$B$10)</f>
        <v>13.67033036</v>
      </c>
      <c r="G19">
        <f t="shared" si="2"/>
        <v>1.393509721</v>
      </c>
      <c r="H19" s="80">
        <f>('Aerodynamic Perf'!$B$18+'Aerodynamic Perf'!$B$26+'Aerodynamic Perf'!$B$2+'Aerodynamic Perf'!$B$25+'Aerodynamic Perf'!$B$5)+I19^2/(PI()*'Aerodynamic Perf'!$B$6*'Aerodynamic Perf'!$B$7)</f>
        <v>0.1757947914</v>
      </c>
      <c r="I19" s="80">
        <f>('Aircraft W+B'!$C$45)/(0.5*'Aerodynamic Perf'!$B$21*A19^2*'Aerodynamic Perf'!$B$10)</f>
        <v>0.9842750123</v>
      </c>
      <c r="J19">
        <f>I19*0.5*'Aerodynamic Perf'!$B$21*A19^2*'Aerodynamic Perf'!$B$10</f>
        <v>76.54017778</v>
      </c>
      <c r="K19" s="81">
        <f t="shared" si="3"/>
        <v>5.59899986</v>
      </c>
      <c r="L19" s="81">
        <f>((((Metric!$K$5*9.80665*A19)/K19))/Metric!$C$28)*100/Metric!$C$31</f>
        <v>9.788852968</v>
      </c>
      <c r="M19" s="1">
        <f>('Systems Param+Perf'!$C$4*((G19/2)^2)+'Systems Param+Perf'!$C$5*((G19/2))+'Systems Param+Perf'!$C$6)</f>
        <v>86.63356609</v>
      </c>
    </row>
    <row r="20" ht="15.75" customHeight="1">
      <c r="A20" s="76">
        <f t="shared" si="4"/>
        <v>12</v>
      </c>
      <c r="C20" s="129">
        <f>(((('Systems Param+Perf'!$C$36/1000)*'Systems Param+Perf'!$C$39*0.01)/((((2)*M20-'Systems Param+Perf'!$C$45+'Systems Param+Perf'!$C$54+'Systems Param+Perf'!$C$61+'Systems Param+Perf'!$C$64)/'Systems Param+Perf'!$C$37)))*60)</f>
        <v>94.38253975</v>
      </c>
      <c r="D20" s="79">
        <f t="shared" si="1"/>
        <v>67.95542862</v>
      </c>
      <c r="F20" s="1">
        <f>0.5*('Aerodynamic Perf'!$B$21*A20^2*H20*'Aerodynamic Perf'!$B$10)</f>
        <v>14.43841514</v>
      </c>
      <c r="G20">
        <f t="shared" si="2"/>
        <v>1.471805825</v>
      </c>
      <c r="H20" s="80">
        <f>('Aerodynamic Perf'!$B$18+'Aerodynamic Perf'!$B$26+'Aerodynamic Perf'!$B$2+'Aerodynamic Perf'!$B$25+'Aerodynamic Perf'!$B$5)+I20^2/(PI()*'Aerodynamic Perf'!$B$6*'Aerodynamic Perf'!$B$7)</f>
        <v>0.1705217207</v>
      </c>
      <c r="I20" s="80">
        <f>('Aircraft W+B'!$C$45)/(0.5*'Aerodynamic Perf'!$B$21*A20^2*'Aerodynamic Perf'!$B$10)</f>
        <v>0.9039609053</v>
      </c>
      <c r="J20">
        <f>I20*0.5*'Aerodynamic Perf'!$B$21*A20^2*'Aerodynamic Perf'!$B$10</f>
        <v>76.54017778</v>
      </c>
      <c r="K20" s="81">
        <f t="shared" si="3"/>
        <v>5.301148155</v>
      </c>
      <c r="L20" s="81">
        <f>((((Metric!$K$5*9.80665*A20)/K20))/Metric!$C$28)*100/Metric!$C$31</f>
        <v>10.78836734</v>
      </c>
      <c r="M20" s="1">
        <f>('Systems Param+Perf'!$C$4*((G20/2)^2)+'Systems Param+Perf'!$C$5*((G20/2))+'Systems Param+Perf'!$C$6)</f>
        <v>91.5284867</v>
      </c>
    </row>
    <row r="21" ht="15.75" customHeight="1">
      <c r="A21" s="76">
        <f t="shared" si="4"/>
        <v>12.5</v>
      </c>
      <c r="C21" s="129">
        <f>(((('Systems Param+Perf'!$C$36/1000)*'Systems Param+Perf'!$C$39*0.01)/((((2)*M21-'Systems Param+Perf'!$C$45+'Systems Param+Perf'!$C$54+'Systems Param+Perf'!$C$61+'Systems Param+Perf'!$C$64)/'Systems Param+Perf'!$C$37)))*60)</f>
        <v>86.84802686</v>
      </c>
      <c r="D21" s="79">
        <f t="shared" si="1"/>
        <v>65.13602015</v>
      </c>
      <c r="F21" s="1">
        <f>0.5*('Aerodynamic Perf'!$B$21*A21^2*H21*'Aerodynamic Perf'!$B$10)</f>
        <v>15.27341275</v>
      </c>
      <c r="G21">
        <f t="shared" si="2"/>
        <v>1.556922808</v>
      </c>
      <c r="H21" s="80">
        <f>('Aerodynamic Perf'!$B$18+'Aerodynamic Perf'!$B$26+'Aerodynamic Perf'!$B$2+'Aerodynamic Perf'!$B$25+'Aerodynamic Perf'!$B$5)+I21^2/(PI()*'Aerodynamic Perf'!$B$6*'Aerodynamic Perf'!$B$7)</f>
        <v>0.1662412272</v>
      </c>
      <c r="I21" s="80">
        <f>('Aircraft W+B'!$C$45)/(0.5*'Aerodynamic Perf'!$B$21*A21^2*'Aerodynamic Perf'!$B$10)</f>
        <v>0.8330903704</v>
      </c>
      <c r="J21">
        <f>I21*0.5*'Aerodynamic Perf'!$B$21*A21^2*'Aerodynamic Perf'!$B$10</f>
        <v>76.54017778</v>
      </c>
      <c r="K21" s="81">
        <f t="shared" si="3"/>
        <v>5.011334339</v>
      </c>
      <c r="L21" s="81">
        <f>((((Metric!$K$5*9.80665*A21)/K21))/Metric!$C$28)*100/Metric!$C$31</f>
        <v>11.88778813</v>
      </c>
      <c r="M21" s="1">
        <f>('Systems Param+Perf'!$C$4*((G21/2)^2)+'Systems Param+Perf'!$C$5*((G21/2))+'Systems Param+Perf'!$C$6)</f>
        <v>96.94014115</v>
      </c>
    </row>
    <row r="22" ht="15.75" customHeight="1">
      <c r="A22" s="76">
        <f t="shared" si="4"/>
        <v>13</v>
      </c>
      <c r="C22" s="129">
        <f>(((('Systems Param+Perf'!$C$36/1000)*'Systems Param+Perf'!$C$39*0.01)/((((2)*M22-'Systems Param+Perf'!$C$45+'Systems Param+Perf'!$C$54+'Systems Param+Perf'!$C$61+'Systems Param+Perf'!$C$64)/'Systems Param+Perf'!$C$37)))*60)</f>
        <v>79.86662222</v>
      </c>
      <c r="D22" s="79">
        <f t="shared" si="1"/>
        <v>62.29596533</v>
      </c>
      <c r="F22" s="1">
        <f>0.5*('Aerodynamic Perf'!$B$21*A22^2*H22*'Aerodynamic Perf'!$B$10)</f>
        <v>16.17153199</v>
      </c>
      <c r="G22">
        <f t="shared" si="2"/>
        <v>1.648474209</v>
      </c>
      <c r="H22" s="80">
        <f>('Aerodynamic Perf'!$B$18+'Aerodynamic Perf'!$B$26+'Aerodynamic Perf'!$B$2+'Aerodynamic Perf'!$B$25+'Aerodynamic Perf'!$B$5)+I22^2/(PI()*'Aerodynamic Perf'!$B$6*'Aerodynamic Perf'!$B$7)</f>
        <v>0.1627373102</v>
      </c>
      <c r="I22" s="80">
        <f>('Aircraft W+B'!$C$45)/(0.5*'Aerodynamic Perf'!$B$21*A22^2*'Aerodynamic Perf'!$B$10)</f>
        <v>0.7702388779</v>
      </c>
      <c r="J22">
        <f>I22*0.5*'Aerodynamic Perf'!$B$21*A22^2*'Aerodynamic Perf'!$B$10</f>
        <v>76.54017778</v>
      </c>
      <c r="K22" s="81">
        <f t="shared" si="3"/>
        <v>4.733019594</v>
      </c>
      <c r="L22" s="81">
        <f>((((Metric!$K$5*9.80665*A22)/K22))/Metric!$C$28)*100/Metric!$C$31</f>
        <v>13.09029613</v>
      </c>
      <c r="M22" s="1">
        <f>('Systems Param+Perf'!$C$4*((G22/2)^2)+'Systems Param+Perf'!$C$5*((G22/2))+'Systems Param+Perf'!$C$6)</f>
        <v>102.8659008</v>
      </c>
    </row>
    <row r="23" ht="15.75" customHeight="1">
      <c r="A23" s="76">
        <f t="shared" si="4"/>
        <v>13.5</v>
      </c>
      <c r="C23" s="129">
        <f>(((('Systems Param+Perf'!$C$36/1000)*'Systems Param+Perf'!$C$39*0.01)/((((2)*M23-'Systems Param+Perf'!$C$45+'Systems Param+Perf'!$C$54+'Systems Param+Perf'!$C$61+'Systems Param+Perf'!$C$64)/'Systems Param+Perf'!$C$37)))*60)</f>
        <v>73.4482573</v>
      </c>
      <c r="D23" s="79">
        <f t="shared" si="1"/>
        <v>59.49308841</v>
      </c>
      <c r="F23" s="1">
        <f>0.5*('Aerodynamic Perf'!$B$21*A23^2*H23*'Aerodynamic Perf'!$B$10)</f>
        <v>17.12967047</v>
      </c>
      <c r="G23">
        <f t="shared" si="2"/>
        <v>1.746143779</v>
      </c>
      <c r="H23" s="80">
        <f>('Aerodynamic Perf'!$B$18+'Aerodynamic Perf'!$B$26+'Aerodynamic Perf'!$B$2+'Aerodynamic Perf'!$B$25+'Aerodynamic Perf'!$B$5)+I23^2/(PI()*'Aerodynamic Perf'!$B$6*'Aerodynamic Perf'!$B$7)</f>
        <v>0.1598468732</v>
      </c>
      <c r="I23" s="80">
        <f>('Aircraft W+B'!$C$45)/(0.5*'Aerodynamic Perf'!$B$21*A23^2*'Aerodynamic Perf'!$B$10)</f>
        <v>0.7142407153</v>
      </c>
      <c r="J23">
        <f>I23*0.5*'Aerodynamic Perf'!$B$21*A23^2*'Aerodynamic Perf'!$B$10</f>
        <v>76.54017778</v>
      </c>
      <c r="K23" s="81">
        <f t="shared" si="3"/>
        <v>4.468280805</v>
      </c>
      <c r="L23" s="81">
        <f>((((Metric!$K$5*9.80665*A23)/K23))/Metric!$C$28)*100/Metric!$C$31</f>
        <v>14.39917904</v>
      </c>
      <c r="M23" s="1">
        <f>('Systems Param+Perf'!$C$4*((G23/2)^2)+'Systems Param+Perf'!$C$5*((G23/2))+'Systems Param+Perf'!$C$6)</f>
        <v>109.3076541</v>
      </c>
    </row>
    <row r="24" ht="15.75" customHeight="1">
      <c r="A24" s="76">
        <f t="shared" si="4"/>
        <v>14</v>
      </c>
      <c r="C24" s="129">
        <f>(((('Systems Param+Perf'!$C$36/1000)*'Systems Param+Perf'!$C$39*0.01)/((((2)*M24-'Systems Param+Perf'!$C$45+'Systems Param+Perf'!$C$54+'Systems Param+Perf'!$C$61+'Systems Param+Perf'!$C$64)/'Systems Param+Perf'!$C$37)))*60)</f>
        <v>67.57776675</v>
      </c>
      <c r="D24" s="79">
        <f t="shared" si="1"/>
        <v>56.76532407</v>
      </c>
      <c r="F24" s="1">
        <f>0.5*('Aerodynamic Perf'!$B$21*A24^2*H24*'Aerodynamic Perf'!$B$10)</f>
        <v>18.14526972</v>
      </c>
      <c r="G24">
        <f t="shared" si="2"/>
        <v>1.849670716</v>
      </c>
      <c r="H24" s="80">
        <f>('Aerodynamic Perf'!$B$18+'Aerodynamic Perf'!$B$26+'Aerodynamic Perf'!$B$2+'Aerodynamic Perf'!$B$25+'Aerodynamic Perf'!$B$5)+I24^2/(PI()*'Aerodynamic Perf'!$B$6*'Aerodynamic Perf'!$B$7)</f>
        <v>0.1574454196</v>
      </c>
      <c r="I24" s="80">
        <f>('Aircraft W+B'!$C$45)/(0.5*'Aerodynamic Perf'!$B$21*A24^2*'Aerodynamic Perf'!$B$10)</f>
        <v>0.6641345427</v>
      </c>
      <c r="J24">
        <f>I24*0.5*'Aerodynamic Perf'!$B$21*A24^2*'Aerodynamic Perf'!$B$10</f>
        <v>76.54017778</v>
      </c>
      <c r="K24" s="81">
        <f t="shared" si="3"/>
        <v>4.218189035</v>
      </c>
      <c r="L24" s="81">
        <f>((((Metric!$K$5*9.80665*A24)/K24))/Metric!$C$28)*100/Metric!$C$31</f>
        <v>15.81781234</v>
      </c>
      <c r="M24" s="1">
        <f>('Systems Param+Perf'!$C$4*((G24/2)^2)+'Systems Param+Perf'!$C$5*((G24/2))+'Systems Param+Perf'!$C$6)</f>
        <v>116.2709613</v>
      </c>
    </row>
    <row r="25" ht="15.75" customHeight="1">
      <c r="A25" s="76">
        <f t="shared" si="4"/>
        <v>14.5</v>
      </c>
      <c r="C25" s="129">
        <f>(((('Systems Param+Perf'!$C$36/1000)*'Systems Param+Perf'!$C$39*0.01)/((((2)*M25-'Systems Param+Perf'!$C$45+'Systems Param+Perf'!$C$54+'Systems Param+Perf'!$C$61+'Systems Param+Perf'!$C$64)/'Systems Param+Perf'!$C$37)))*60)</f>
        <v>62.2256093</v>
      </c>
      <c r="D25" s="79">
        <f t="shared" si="1"/>
        <v>54.13628009</v>
      </c>
      <c r="F25" s="1">
        <f>0.5*('Aerodynamic Perf'!$B$21*A25^2*H25*'Aerodynamic Perf'!$B$10)</f>
        <v>19.21620462</v>
      </c>
      <c r="G25">
        <f t="shared" si="2"/>
        <v>1.958838391</v>
      </c>
      <c r="H25" s="80">
        <f>('Aerodynamic Perf'!$B$18+'Aerodynamic Perf'!$B$26+'Aerodynamic Perf'!$B$2+'Aerodynamic Perf'!$B$25+'Aerodynamic Perf'!$B$5)+I25^2/(PI()*'Aerodynamic Perf'!$B$6*'Aerodynamic Perf'!$B$7)</f>
        <v>0.1554369565</v>
      </c>
      <c r="I25" s="80">
        <f>('Aircraft W+B'!$C$45)/(0.5*'Aerodynamic Perf'!$B$21*A25^2*'Aerodynamic Perf'!$B$10)</f>
        <v>0.6191218567</v>
      </c>
      <c r="J25">
        <f>I25*0.5*'Aerodynamic Perf'!$B$21*A25^2*'Aerodynamic Perf'!$B$10</f>
        <v>76.54017778</v>
      </c>
      <c r="K25" s="81">
        <f t="shared" si="3"/>
        <v>3.983105889</v>
      </c>
      <c r="L25" s="81">
        <f>((((Metric!$K$5*9.80665*A25)/K25))/Metric!$C$28)*100/Metric!$C$31</f>
        <v>17.34964416</v>
      </c>
      <c r="M25" s="1">
        <f>('Systems Param+Perf'!$C$4*((G25/2)^2)+'Systems Param+Perf'!$C$5*((G25/2))+'Systems Param+Perf'!$C$6)</f>
        <v>123.7644211</v>
      </c>
    </row>
    <row r="26" ht="15.75" customHeight="1">
      <c r="A26" s="76">
        <f t="shared" si="4"/>
        <v>15</v>
      </c>
      <c r="C26" s="129">
        <f>(((('Systems Param+Perf'!$C$36/1000)*'Systems Param+Perf'!$C$39*0.01)/((((2)*M26-'Systems Param+Perf'!$C$45+'Systems Param+Perf'!$C$54+'Systems Param+Perf'!$C$61+'Systems Param+Perf'!$C$64)/'Systems Param+Perf'!$C$37)))*60)</f>
        <v>57.35495832</v>
      </c>
      <c r="D26" s="79">
        <f t="shared" si="1"/>
        <v>51.61946248</v>
      </c>
      <c r="F26" s="1">
        <f>0.5*('Aerodynamic Perf'!$B$21*A26^2*H26*'Aerodynamic Perf'!$B$10)</f>
        <v>20.34069823</v>
      </c>
      <c r="G26">
        <f t="shared" si="2"/>
        <v>2.073465671</v>
      </c>
      <c r="H26" s="80">
        <f>('Aerodynamic Perf'!$B$18+'Aerodynamic Perf'!$B$26+'Aerodynamic Perf'!$B$2+'Aerodynamic Perf'!$B$25+'Aerodynamic Perf'!$B$5)+I26^2/(PI()*'Aerodynamic Perf'!$B$6*'Aerodynamic Perf'!$B$7)</f>
        <v>0.1537467742</v>
      </c>
      <c r="I26" s="80">
        <f>('Aircraft W+B'!$C$45)/(0.5*'Aerodynamic Perf'!$B$21*A26^2*'Aerodynamic Perf'!$B$10)</f>
        <v>0.5785349794</v>
      </c>
      <c r="J26">
        <f>I26*0.5*'Aerodynamic Perf'!$B$21*A26^2*'Aerodynamic Perf'!$B$10</f>
        <v>76.54017778</v>
      </c>
      <c r="K26" s="81">
        <f t="shared" si="3"/>
        <v>3.762908082</v>
      </c>
      <c r="L26" s="81">
        <f>((((Metric!$K$5*9.80665*A26)/K26))/Metric!$C$28)*100/Metric!$C$31</f>
        <v>18.99818318</v>
      </c>
      <c r="M26" s="1">
        <f>('Systems Param+Perf'!$C$4*((G26/2)^2)+'Systems Param+Perf'!$C$5*((G26/2))+'Systems Param+Perf'!$C$6)</f>
        <v>131.7991898</v>
      </c>
    </row>
    <row r="27" ht="15.75" customHeight="1">
      <c r="A27" s="76">
        <f t="shared" si="4"/>
        <v>15.5</v>
      </c>
      <c r="C27" s="129">
        <f>(((('Systems Param+Perf'!$C$36/1000)*'Systems Param+Perf'!$C$39*0.01)/((((2)*M27-'Systems Param+Perf'!$C$45+'Systems Param+Perf'!$C$54+'Systems Param+Perf'!$C$61+'Systems Param+Perf'!$C$64)/'Systems Param+Perf'!$C$37)))*60)</f>
        <v>52.92622633</v>
      </c>
      <c r="D27" s="79">
        <f t="shared" si="1"/>
        <v>49.22139049</v>
      </c>
      <c r="F27" s="1">
        <f>0.5*('Aerodynamic Perf'!$B$21*A27^2*H27*'Aerodynamic Perf'!$B$10)</f>
        <v>21.51725552</v>
      </c>
      <c r="G27">
        <f t="shared" si="2"/>
        <v>2.193400155</v>
      </c>
      <c r="H27" s="80">
        <f>('Aerodynamic Perf'!$B$18+'Aerodynamic Perf'!$B$26+'Aerodynamic Perf'!$B$2+'Aerodynamic Perf'!$B$25+'Aerodynamic Perf'!$B$5)+I27^2/(PI()*'Aerodynamic Perf'!$B$6*'Aerodynamic Perf'!$B$7)</f>
        <v>0.1523162205</v>
      </c>
      <c r="I27" s="80">
        <f>('Aircraft W+B'!$C$45)/(0.5*'Aerodynamic Perf'!$B$21*A27^2*'Aerodynamic Perf'!$B$10)</f>
        <v>0.5418121555</v>
      </c>
      <c r="J27">
        <f>I27*0.5*'Aerodynamic Perf'!$B$21*A27^2*'Aerodynamic Perf'!$B$10</f>
        <v>76.54017778</v>
      </c>
      <c r="K27" s="81">
        <f t="shared" si="3"/>
        <v>3.55715336</v>
      </c>
      <c r="L27" s="81">
        <f>((((Metric!$K$5*9.80665*A27)/K27))/Metric!$C$28)*100/Metric!$C$31</f>
        <v>20.76698888</v>
      </c>
      <c r="M27" s="1">
        <f>('Systems Param+Perf'!$C$4*((G27/2)^2)+'Systems Param+Perf'!$C$5*((G27/2))+'Systems Param+Perf'!$C$6)</f>
        <v>140.3886128</v>
      </c>
    </row>
    <row r="28" ht="15.75" customHeight="1">
      <c r="A28" s="76">
        <f t="shared" si="4"/>
        <v>16</v>
      </c>
      <c r="C28" s="129">
        <f>(((('Systems Param+Perf'!$C$36/1000)*'Systems Param+Perf'!$C$39*0.01)/((((2)*M28-'Systems Param+Perf'!$C$45+'Systems Param+Perf'!$C$54+'Systems Param+Perf'!$C$61+'Systems Param+Perf'!$C$64)/'Systems Param+Perf'!$C$37)))*60)</f>
        <v>48.89984015</v>
      </c>
      <c r="D28" s="79">
        <f t="shared" si="1"/>
        <v>46.94384654</v>
      </c>
      <c r="F28" s="1">
        <f>0.5*('Aerodynamic Perf'!$B$21*A28^2*H28*'Aerodynamic Perf'!$B$10)</f>
        <v>22.74461134</v>
      </c>
      <c r="G28">
        <f t="shared" si="2"/>
        <v>2.318512879</v>
      </c>
      <c r="H28" s="80">
        <f>('Aerodynamic Perf'!$B$18+'Aerodynamic Perf'!$B$26+'Aerodynamic Perf'!$B$2+'Aerodynamic Perf'!$B$25+'Aerodynamic Perf'!$B$5)+I28^2/(PI()*'Aerodynamic Perf'!$B$6*'Aerodynamic Perf'!$B$7)</f>
        <v>0.1510988742</v>
      </c>
      <c r="I28" s="80">
        <f>('Aircraft W+B'!$C$45)/(0.5*'Aerodynamic Perf'!$B$21*A28^2*'Aerodynamic Perf'!$B$10)</f>
        <v>0.5084780093</v>
      </c>
      <c r="J28">
        <f>I28*0.5*'Aerodynamic Perf'!$B$21*A28^2*'Aerodynamic Perf'!$B$10</f>
        <v>76.54017778</v>
      </c>
      <c r="K28" s="81">
        <f t="shared" si="3"/>
        <v>3.365200515</v>
      </c>
      <c r="L28" s="81">
        <f>((((Metric!$K$5*9.80665*A28)/K28))/Metric!$C$28)*100/Metric!$C$31</f>
        <v>22.65966357</v>
      </c>
      <c r="M28" s="1">
        <f>('Systems Param+Perf'!$C$4*((G28/2)^2)+'Systems Param+Perf'!$C$5*((G28/2))+'Systems Param+Perf'!$C$6)</f>
        <v>149.5479396</v>
      </c>
    </row>
    <row r="29" ht="15.75" customHeight="1">
      <c r="A29" s="76">
        <f t="shared" si="4"/>
        <v>16.5</v>
      </c>
      <c r="C29" s="129">
        <f>(((('Systems Param+Perf'!$C$36/1000)*'Systems Param+Perf'!$C$39*0.01)/((((2)*M29-'Systems Param+Perf'!$C$45+'Systems Param+Perf'!$C$54+'Systems Param+Perf'!$C$61+'Systems Param+Perf'!$C$64)/'Systems Param+Perf'!$C$37)))*60)</f>
        <v>45.2378556</v>
      </c>
      <c r="D29" s="79">
        <f t="shared" si="1"/>
        <v>44.78547704</v>
      </c>
      <c r="F29" s="1">
        <f>0.5*('Aerodynamic Perf'!$B$21*A29^2*H29*'Aerodynamic Perf'!$B$10)</f>
        <v>24.02168927</v>
      </c>
      <c r="G29">
        <f t="shared" si="2"/>
        <v>2.448694115</v>
      </c>
      <c r="H29" s="80">
        <f>('Aerodynamic Perf'!$B$18+'Aerodynamic Perf'!$B$26+'Aerodynamic Perf'!$B$2+'Aerodynamic Perf'!$B$25+'Aerodynamic Perf'!$B$5)+I29^2/(PI()*'Aerodynamic Perf'!$B$6*'Aerodynamic Perf'!$B$7)</f>
        <v>0.1500577155</v>
      </c>
      <c r="I29" s="80">
        <f>('Aircraft W+B'!$C$45)/(0.5*'Aerodynamic Perf'!$B$21*A29^2*'Aerodynamic Perf'!$B$10)</f>
        <v>0.4781280822</v>
      </c>
      <c r="J29">
        <f>I29*0.5*'Aerodynamic Perf'!$B$21*A29^2*'Aerodynamic Perf'!$B$10</f>
        <v>76.54017778</v>
      </c>
      <c r="K29" s="81">
        <f t="shared" si="3"/>
        <v>3.186294557</v>
      </c>
      <c r="L29" s="81">
        <f>((((Metric!$K$5*9.80665*A29)/K29))/Metric!$C$28)*100/Metric!$C$31</f>
        <v>24.67984592</v>
      </c>
      <c r="M29" s="1">
        <f>('Systems Param+Perf'!$C$4*((G29/2)^2)+'Systems Param+Perf'!$C$5*((G29/2))+'Systems Param+Perf'!$C$6)</f>
        <v>159.2940999</v>
      </c>
    </row>
    <row r="30" ht="15.75" customHeight="1">
      <c r="A30" s="76">
        <f t="shared" si="4"/>
        <v>17</v>
      </c>
      <c r="C30" s="129">
        <f>(((('Systems Param+Perf'!$C$36/1000)*'Systems Param+Perf'!$C$39*0.01)/((((2)*M30-'Systems Param+Perf'!$C$45+'Systems Param+Perf'!$C$54+'Systems Param+Perf'!$C$61+'Systems Param+Perf'!$C$64)/'Systems Param+Perf'!$C$37)))*60)</f>
        <v>41.90482116</v>
      </c>
      <c r="D30" s="79">
        <f t="shared" si="1"/>
        <v>42.74291758</v>
      </c>
      <c r="F30" s="1">
        <f>0.5*('Aerodynamic Perf'!$B$21*A30^2*H30*'Aerodynamic Perf'!$B$10)</f>
        <v>25.34756883</v>
      </c>
      <c r="G30">
        <f t="shared" si="2"/>
        <v>2.583850034</v>
      </c>
      <c r="H30" s="80">
        <f>('Aerodynamic Perf'!$B$18+'Aerodynamic Perf'!$B$26+'Aerodynamic Perf'!$B$2+'Aerodynamic Perf'!$B$25+'Aerodynamic Perf'!$B$5)+I30^2/(PI()*'Aerodynamic Perf'!$B$6*'Aerodynamic Perf'!$B$7)</f>
        <v>0.1491630113</v>
      </c>
      <c r="I30" s="80">
        <f>('Aircraft W+B'!$C$45)/(0.5*'Aerodynamic Perf'!$B$21*A30^2*'Aerodynamic Perf'!$B$10)</f>
        <v>0.4504165065</v>
      </c>
      <c r="J30">
        <f>I30*0.5*'Aerodynamic Perf'!$B$21*A30^2*'Aerodynamic Perf'!$B$10</f>
        <v>76.54017778</v>
      </c>
      <c r="K30" s="81">
        <f t="shared" si="3"/>
        <v>3.019625996</v>
      </c>
      <c r="L30" s="81">
        <f>((((Metric!$K$5*9.80665*A30)/K30))/Metric!$C$28)*100/Metric!$C$31</f>
        <v>26.83120562</v>
      </c>
      <c r="M30" s="1">
        <f>('Systems Param+Perf'!$C$4*((G30/2)^2)+'Systems Param+Perf'!$C$5*((G30/2))+'Systems Param+Perf'!$C$6)</f>
        <v>169.6455286</v>
      </c>
    </row>
    <row r="31" ht="15.75" customHeight="1">
      <c r="A31" s="76">
        <f t="shared" si="4"/>
        <v>17.5</v>
      </c>
      <c r="C31" s="129">
        <f>(((('Systems Param+Perf'!$C$36/1000)*'Systems Param+Perf'!$C$39*0.01)/((((2)*M31-'Systems Param+Perf'!$C$45+'Systems Param+Perf'!$C$54+'Systems Param+Perf'!$C$61+'Systems Param+Perf'!$C$64)/'Systems Param+Perf'!$C$37)))*60)</f>
        <v>38.86816718</v>
      </c>
      <c r="D31" s="79">
        <f t="shared" si="1"/>
        <v>40.81157554</v>
      </c>
      <c r="F31" s="1">
        <f>0.5*('Aerodynamic Perf'!$B$21*A31^2*H31*'Aerodynamic Perf'!$B$10)</f>
        <v>26.72145914</v>
      </c>
      <c r="G31">
        <f t="shared" si="2"/>
        <v>2.723900014</v>
      </c>
      <c r="H31" s="80">
        <f>('Aerodynamic Perf'!$B$18+'Aerodynamic Perf'!$B$26+'Aerodynamic Perf'!$B$2+'Aerodynamic Perf'!$B$25+'Aerodynamic Perf'!$B$5)+I31^2/(PI()*'Aerodynamic Perf'!$B$6*'Aerodynamic Perf'!$B$7)</f>
        <v>0.1483907213</v>
      </c>
      <c r="I31" s="80">
        <f>('Aircraft W+B'!$C$45)/(0.5*'Aerodynamic Perf'!$B$21*A31^2*'Aerodynamic Perf'!$B$10)</f>
        <v>0.4250461073</v>
      </c>
      <c r="J31">
        <f>I31*0.5*'Aerodynamic Perf'!$B$21*A31^2*'Aerodynamic Perf'!$B$10</f>
        <v>76.54017778</v>
      </c>
      <c r="K31" s="81">
        <f t="shared" si="3"/>
        <v>2.864371193</v>
      </c>
      <c r="L31" s="81">
        <f>((((Metric!$K$5*9.80665*A31)/K31))/Metric!$C$28)*100/Metric!$C$31</f>
        <v>29.11743891</v>
      </c>
      <c r="M31" s="1">
        <f>('Systems Param+Perf'!$C$4*((G31/2)^2)+'Systems Param+Perf'!$C$5*((G31/2))+'Systems Param+Perf'!$C$6)</f>
        <v>180.6220252</v>
      </c>
    </row>
    <row r="32" ht="15.75" customHeight="1">
      <c r="A32" s="76">
        <f t="shared" si="4"/>
        <v>18</v>
      </c>
      <c r="C32" s="129">
        <f>(((('Systems Param+Perf'!$C$36/1000)*'Systems Param+Perf'!$C$39*0.01)/((((2)*M32-'Systems Param+Perf'!$C$45+'Systems Param+Perf'!$C$54+'Systems Param+Perf'!$C$61+'Systems Param+Perf'!$C$64)/'Systems Param+Perf'!$C$37)))*60)</f>
        <v>36.09830411</v>
      </c>
      <c r="D32" s="79">
        <f t="shared" si="1"/>
        <v>38.98616844</v>
      </c>
      <c r="F32" s="1">
        <f>0.5*('Aerodynamic Perf'!$B$21*A32^2*H32*'Aerodynamic Perf'!$B$10)</f>
        <v>28.14267759</v>
      </c>
      <c r="G32">
        <f t="shared" si="2"/>
        <v>2.868774474</v>
      </c>
      <c r="H32" s="80">
        <f>('Aerodynamic Perf'!$B$18+'Aerodynamic Perf'!$B$26+'Aerodynamic Perf'!$B$2+'Aerodynamic Perf'!$B$25+'Aerodynamic Perf'!$B$5)+I32^2/(PI()*'Aerodynamic Perf'!$B$6*'Aerodynamic Perf'!$B$7)</f>
        <v>0.1477212857</v>
      </c>
      <c r="I32" s="80">
        <f>('Aircraft W+B'!$C$45)/(0.5*'Aerodynamic Perf'!$B$21*A32^2*'Aerodynamic Perf'!$B$10)</f>
        <v>0.4017604024</v>
      </c>
      <c r="J32">
        <f>I32*0.5*'Aerodynamic Perf'!$B$21*A32^2*'Aerodynamic Perf'!$B$10</f>
        <v>76.54017778</v>
      </c>
      <c r="K32" s="81">
        <f t="shared" si="3"/>
        <v>2.719719101</v>
      </c>
      <c r="L32" s="81">
        <f>((((Metric!$K$5*9.80665*A32)/K32))/Metric!$C$28)*100/Metric!$C$31</f>
        <v>31.54226495</v>
      </c>
      <c r="M32" s="1">
        <f>('Systems Param+Perf'!$C$4*((G32/2)^2)+'Systems Param+Perf'!$C$5*((G32/2))+'Systems Param+Perf'!$C$6)</f>
        <v>192.2446424</v>
      </c>
    </row>
    <row r="33" ht="15.75" customHeight="1">
      <c r="A33" s="76">
        <f t="shared" si="4"/>
        <v>18.5</v>
      </c>
      <c r="C33" s="129">
        <f>(((('Systems Param+Perf'!$C$36/1000)*'Systems Param+Perf'!$C$39*0.01)/((((2)*M33-'Systems Param+Perf'!$C$45+'Systems Param+Perf'!$C$54+'Systems Param+Perf'!$C$61+'Systems Param+Perf'!$C$64)/'Systems Param+Perf'!$C$37)))*60)</f>
        <v>33.56854928</v>
      </c>
      <c r="D33" s="79">
        <f t="shared" si="1"/>
        <v>37.2610897</v>
      </c>
      <c r="F33" s="1">
        <f>0.5*('Aerodynamic Perf'!$B$21*A33^2*H33*'Aerodynamic Perf'!$B$10)</f>
        <v>29.61063257</v>
      </c>
      <c r="G33">
        <f t="shared" si="2"/>
        <v>3.018413106</v>
      </c>
      <c r="H33" s="80">
        <f>('Aerodynamic Perf'!$B$18+'Aerodynamic Perf'!$B$26+'Aerodynamic Perf'!$B$2+'Aerodynamic Perf'!$B$25+'Aerodynamic Perf'!$B$5)+I33^2/(PI()*'Aerodynamic Perf'!$B$6*'Aerodynamic Perf'!$B$7)</f>
        <v>0.1471386959</v>
      </c>
      <c r="I33" s="80">
        <f>('Aircraft W+B'!$C$45)/(0.5*'Aerodynamic Perf'!$B$21*A33^2*'Aerodynamic Perf'!$B$10)</f>
        <v>0.3803370939</v>
      </c>
      <c r="J33">
        <f>I33*0.5*'Aerodynamic Perf'!$B$21*A33^2*'Aerodynamic Perf'!$B$10</f>
        <v>76.54017778</v>
      </c>
      <c r="K33" s="81">
        <f t="shared" si="3"/>
        <v>2.584888303</v>
      </c>
      <c r="L33" s="81">
        <f>((((Metric!$K$5*9.80665*A33)/K33))/Metric!$C$28)*100/Metric!$C$31</f>
        <v>34.10942267</v>
      </c>
      <c r="M33" s="1">
        <f>('Systems Param+Perf'!$C$4*((G33/2)^2)+'Systems Param+Perf'!$C$5*((G33/2))+'Systems Param+Perf'!$C$6)</f>
        <v>204.5355953</v>
      </c>
    </row>
    <row r="34" ht="15.75" customHeight="1">
      <c r="A34" s="76">
        <f t="shared" si="4"/>
        <v>19</v>
      </c>
      <c r="B34" s="82"/>
      <c r="C34" s="129">
        <f>(((('Systems Param+Perf'!$C$36/1000)*'Systems Param+Perf'!$C$39*0.01)/((((2)*M34-'Systems Param+Perf'!$C$45+'Systems Param+Perf'!$C$54+'Systems Param+Perf'!$C$61+'Systems Param+Perf'!$C$64)/'Systems Param+Perf'!$C$37)))*60)</f>
        <v>31.25495893</v>
      </c>
      <c r="D34" s="79">
        <f t="shared" si="1"/>
        <v>35.63065319</v>
      </c>
      <c r="F34" s="1">
        <f>0.5*('Aerodynamic Perf'!$B$21*A34^2*H34*'Aerodynamic Perf'!$B$10)</f>
        <v>31.12480927</v>
      </c>
      <c r="G34">
        <f t="shared" si="2"/>
        <v>3.172763433</v>
      </c>
      <c r="H34" s="80">
        <f>('Aerodynamic Perf'!$B$18+'Aerodynamic Perf'!$B$26+'Aerodynamic Perf'!$B$2+'Aerodynamic Perf'!$B$25+'Aerodynamic Perf'!$B$5)+I34^2/(PI()*'Aerodynamic Perf'!$B$6*'Aerodynamic Perf'!$B$7)</f>
        <v>0.1466297759</v>
      </c>
      <c r="I34" s="80">
        <f>('Aircraft W+B'!$C$45)/(0.5*'Aerodynamic Perf'!$B$21*A34^2*'Aerodynamic Perf'!$B$10)</f>
        <v>0.3605827434</v>
      </c>
      <c r="J34">
        <f>I34*0.5*'Aerodynamic Perf'!$B$21*A34^2*'Aerodynamic Perf'!$B$10</f>
        <v>76.54017778</v>
      </c>
      <c r="K34" s="81">
        <f t="shared" si="3"/>
        <v>2.459137247</v>
      </c>
      <c r="L34" s="81">
        <f>((((Metric!$K$5*9.80665*A34)/K34))/Metric!$C$28)*100/Metric!$C$31</f>
        <v>36.82266821</v>
      </c>
      <c r="M34" s="1">
        <f>('Systems Param+Perf'!$C$4*((G34/2)^2)+'Systems Param+Perf'!$C$5*((G34/2))+'Systems Param+Perf'!$C$6)</f>
        <v>217.5181886</v>
      </c>
    </row>
    <row r="35" ht="15.75" customHeight="1">
      <c r="A35" s="76">
        <f t="shared" si="4"/>
        <v>19.5</v>
      </c>
      <c r="B35" s="82"/>
      <c r="C35" s="129">
        <f>(((('Systems Param+Perf'!$C$36/1000)*'Systems Param+Perf'!$C$39*0.01)/((((2)*M35-'Systems Param+Perf'!$C$45+'Systems Param+Perf'!$C$54+'Systems Param+Perf'!$C$61+'Systems Param+Perf'!$C$64)/'Systems Param+Perf'!$C$37)))*60)</f>
        <v>29.13611377</v>
      </c>
      <c r="D35" s="79">
        <f t="shared" si="1"/>
        <v>34.08925311</v>
      </c>
      <c r="F35" s="1">
        <f>0.5*('Aerodynamic Perf'!$B$21*A35^2*H35*'Aerodynamic Perf'!$B$10)</f>
        <v>32.68475803</v>
      </c>
      <c r="G35">
        <f t="shared" si="2"/>
        <v>3.331779615</v>
      </c>
      <c r="H35" s="80">
        <f>('Aerodynamic Perf'!$B$18+'Aerodynamic Perf'!$B$26+'Aerodynamic Perf'!$B$2+'Aerodynamic Perf'!$B$25+'Aerodynamic Perf'!$B$5)+I35^2/(PI()*'Aerodynamic Perf'!$B$6*'Aerodynamic Perf'!$B$7)</f>
        <v>0.1461836244</v>
      </c>
      <c r="I35" s="80">
        <f>('Aircraft W+B'!$C$45)/(0.5*'Aerodynamic Perf'!$B$21*A35^2*'Aerodynamic Perf'!$B$10)</f>
        <v>0.3423283902</v>
      </c>
      <c r="J35">
        <f>I35*0.5*'Aerodynamic Perf'!$B$21*A35^2*'Aerodynamic Perf'!$B$10</f>
        <v>76.54017778</v>
      </c>
      <c r="K35" s="81">
        <f t="shared" si="3"/>
        <v>2.341769754</v>
      </c>
      <c r="L35" s="81">
        <f>((((Metric!$K$5*9.80665*A35)/K35))/Metric!$C$28)*100/Metric!$C$31</f>
        <v>39.68577269</v>
      </c>
      <c r="M35" s="1">
        <f>('Systems Param+Perf'!$C$4*((G35/2)^2)+'Systems Param+Perf'!$C$5*((G35/2))+'Systems Param+Perf'!$C$6)</f>
        <v>231.2167563</v>
      </c>
    </row>
    <row r="36" ht="15.75" customHeight="1">
      <c r="A36" s="76">
        <f t="shared" si="4"/>
        <v>20</v>
      </c>
      <c r="B36" s="82"/>
      <c r="C36" s="129">
        <f>(((('Systems Param+Perf'!$C$36/1000)*'Systems Param+Perf'!$C$39*0.01)/((((2)*M36-'Systems Param+Perf'!$C$45+'Systems Param+Perf'!$C$54+'Systems Param+Perf'!$C$61+'Systems Param+Perf'!$C$64)/'Systems Param+Perf'!$C$37)))*60)</f>
        <v>27.19288768</v>
      </c>
      <c r="D36" s="79">
        <f t="shared" si="1"/>
        <v>32.63146522</v>
      </c>
      <c r="F36" s="1">
        <f>0.5*('Aerodynamic Perf'!$B$21*A36^2*H36*'Aerodynamic Perf'!$B$10)</f>
        <v>34.29008467</v>
      </c>
      <c r="G36">
        <f t="shared" si="2"/>
        <v>3.495421475</v>
      </c>
      <c r="H36" s="80">
        <f>('Aerodynamic Perf'!$B$18+'Aerodynamic Perf'!$B$26+'Aerodynamic Perf'!$B$2+'Aerodynamic Perf'!$B$25+'Aerodynamic Perf'!$B$5)+I36^2/(PI()*'Aerodynamic Perf'!$B$6*'Aerodynamic Perf'!$B$7)</f>
        <v>0.1457911763</v>
      </c>
      <c r="I36" s="80">
        <f>('Aircraft W+B'!$C$45)/(0.5*'Aerodynamic Perf'!$B$21*A36^2*'Aerodynamic Perf'!$B$10)</f>
        <v>0.3254259259</v>
      </c>
      <c r="J36">
        <f>I36*0.5*'Aerodynamic Perf'!$B$21*A36^2*'Aerodynamic Perf'!$B$10</f>
        <v>76.54017778</v>
      </c>
      <c r="K36" s="81">
        <f t="shared" si="3"/>
        <v>2.232137323</v>
      </c>
      <c r="L36" s="81">
        <f>((((Metric!$K$5*9.80665*A36)/K36))/Metric!$C$28)*100/Metric!$C$31</f>
        <v>42.70252033</v>
      </c>
      <c r="M36" s="1">
        <f>('Systems Param+Perf'!$C$4*((G36/2)^2)+'Systems Param+Perf'!$C$5*((G36/2))+'Systems Param+Perf'!$C$6)</f>
        <v>245.6566126</v>
      </c>
    </row>
    <row r="37" ht="15.75" customHeight="1">
      <c r="A37" s="76">
        <f t="shared" si="4"/>
        <v>20.5</v>
      </c>
      <c r="B37" s="82"/>
      <c r="C37" s="129">
        <f>(((('Systems Param+Perf'!$C$36/1000)*'Systems Param+Perf'!$C$39*0.01)/((((2)*M37-'Systems Param+Perf'!$C$45+'Systems Param+Perf'!$C$54+'Systems Param+Perf'!$C$61+'Systems Param+Perf'!$C$64)/'Systems Param+Perf'!$C$37)))*60)</f>
        <v>25.40821749</v>
      </c>
      <c r="D37" s="79">
        <f t="shared" si="1"/>
        <v>31.25210751</v>
      </c>
      <c r="F37" s="1">
        <f>0.5*('Aerodynamic Perf'!$B$21*A37^2*H37*'Aerodynamic Perf'!$B$10)</f>
        <v>35.94044249</v>
      </c>
      <c r="G37">
        <f t="shared" si="2"/>
        <v>3.663653669</v>
      </c>
      <c r="H37" s="80">
        <f>('Aerodynamic Perf'!$B$18+'Aerodynamic Perf'!$B$26+'Aerodynamic Perf'!$B$2+'Aerodynamic Perf'!$B$25+'Aerodynamic Perf'!$B$5)+I37^2/(PI()*'Aerodynamic Perf'!$B$6*'Aerodynamic Perf'!$B$7)</f>
        <v>0.1454448579</v>
      </c>
      <c r="I37" s="80">
        <f>('Aircraft W+B'!$C$45)/(0.5*'Aerodynamic Perf'!$B$21*A37^2*'Aerodynamic Perf'!$B$10)</f>
        <v>0.3097450812</v>
      </c>
      <c r="J37">
        <f>I37*0.5*'Aerodynamic Perf'!$B$21*A37^2*'Aerodynamic Perf'!$B$10</f>
        <v>76.54017778</v>
      </c>
      <c r="K37" s="81">
        <f t="shared" si="3"/>
        <v>2.129639272</v>
      </c>
      <c r="L37" s="81">
        <f>((((Metric!$K$5*9.80665*A37)/K37))/Metric!$C$28)*100/Metric!$C$31</f>
        <v>45.87670687</v>
      </c>
      <c r="M37" s="1">
        <f>('Systems Param+Perf'!$C$4*((G37/2)^2)+'Systems Param+Perf'!$C$5*((G37/2))+'Systems Param+Perf'!$C$6)</f>
        <v>260.8640115</v>
      </c>
    </row>
    <row r="38" ht="15.75" customHeight="1">
      <c r="A38" s="76">
        <f t="shared" si="4"/>
        <v>21</v>
      </c>
      <c r="B38" s="82"/>
      <c r="C38" s="129">
        <f>(((('Systems Param+Perf'!$C$36/1000)*'Systems Param+Perf'!$C$39*0.01)/((((2)*M38-'Systems Param+Perf'!$C$45+'Systems Param+Perf'!$C$54+'Systems Param+Perf'!$C$61+'Systems Param+Perf'!$C$64)/'Systems Param+Perf'!$C$37)))*60)</f>
        <v>23.76688354</v>
      </c>
      <c r="D38" s="79">
        <f t="shared" si="1"/>
        <v>29.94627326</v>
      </c>
      <c r="F38" s="1">
        <f>0.5*('Aerodynamic Perf'!$B$21*A38^2*H38*'Aerodynamic Perf'!$B$10)</f>
        <v>37.63552558</v>
      </c>
      <c r="G38">
        <f t="shared" si="2"/>
        <v>3.836445014</v>
      </c>
      <c r="H38" s="80">
        <f>('Aerodynamic Perf'!$B$18+'Aerodynamic Perf'!$B$26+'Aerodynamic Perf'!$B$2+'Aerodynamic Perf'!$B$25+'Aerodynamic Perf'!$B$5)+I38^2/(PI()*'Aerodynamic Perf'!$B$6*'Aerodynamic Perf'!$B$7)</f>
        <v>0.1451383127</v>
      </c>
      <c r="I38" s="80">
        <f>('Aircraft W+B'!$C$45)/(0.5*'Aerodynamic Perf'!$B$21*A38^2*'Aerodynamic Perf'!$B$10)</f>
        <v>0.2951709079</v>
      </c>
      <c r="J38">
        <f>I38*0.5*'Aerodynamic Perf'!$B$21*A38^2*'Aerodynamic Perf'!$B$10</f>
        <v>76.54017778</v>
      </c>
      <c r="K38" s="81">
        <f t="shared" si="3"/>
        <v>2.033721506</v>
      </c>
      <c r="L38" s="81">
        <f>((((Metric!$K$5*9.80665*A38)/K38))/Metric!$C$28)*100/Metric!$C$31</f>
        <v>49.21213822</v>
      </c>
      <c r="M38" s="1">
        <f>('Systems Param+Perf'!$C$4*((G38/2)^2)+'Systems Param+Perf'!$C$5*((G38/2))+'Systems Param+Perf'!$C$6)</f>
        <v>276.8661127</v>
      </c>
    </row>
    <row r="39" ht="15.75" customHeight="1">
      <c r="A39" s="76">
        <f t="shared" si="4"/>
        <v>21.5</v>
      </c>
      <c r="B39" s="82"/>
      <c r="C39" s="129">
        <f>(((('Systems Param+Perf'!$C$36/1000)*'Systems Param+Perf'!$C$39*0.01)/((((2)*M39-'Systems Param+Perf'!$C$45+'Systems Param+Perf'!$C$54+'Systems Param+Perf'!$C$61+'Systems Param+Perf'!$C$64)/'Systems Param+Perf'!$C$37)))*60)</f>
        <v>22.25530649</v>
      </c>
      <c r="D39" s="79">
        <f t="shared" si="1"/>
        <v>28.70934537</v>
      </c>
      <c r="F39" s="1">
        <f>0.5*('Aerodynamic Perf'!$B$21*A39^2*H39*'Aerodynamic Perf'!$B$10)</f>
        <v>39.37506318</v>
      </c>
      <c r="G39">
        <f t="shared" si="2"/>
        <v>4.013767908</v>
      </c>
      <c r="H39" s="80">
        <f>('Aerodynamic Perf'!$B$18+'Aerodynamic Perf'!$B$26+'Aerodynamic Perf'!$B$2+'Aerodynamic Perf'!$B$25+'Aerodynamic Perf'!$B$5)+I39^2/(PI()*'Aerodynamic Perf'!$B$6*'Aerodynamic Perf'!$B$7)</f>
        <v>0.1448661832</v>
      </c>
      <c r="I39" s="80">
        <f>('Aircraft W+B'!$C$45)/(0.5*'Aerodynamic Perf'!$B$21*A39^2*'Aerodynamic Perf'!$B$10)</f>
        <v>0.2816016666</v>
      </c>
      <c r="J39">
        <f>I39*0.5*'Aerodynamic Perf'!$B$21*A39^2*'Aerodynamic Perf'!$B$10</f>
        <v>76.54017778</v>
      </c>
      <c r="K39" s="81">
        <f t="shared" si="3"/>
        <v>1.943874412</v>
      </c>
      <c r="L39" s="81">
        <f>((((Metric!$K$5*9.80665*A39)/K39))/Metric!$C$28)*100/Metric!$C$31</f>
        <v>52.71262921</v>
      </c>
      <c r="M39" s="1">
        <f>('Systems Param+Perf'!$C$4*((G39/2)^2)+'Systems Param+Perf'!$C$5*((G39/2))+'Systems Param+Perf'!$C$6)</f>
        <v>293.6909535</v>
      </c>
    </row>
    <row r="40" ht="15.75" customHeight="1">
      <c r="A40" s="76">
        <f t="shared" si="4"/>
        <v>22</v>
      </c>
      <c r="B40" s="82"/>
      <c r="C40" s="129">
        <f>(((('Systems Param+Perf'!$C$36/1000)*'Systems Param+Perf'!$C$39*0.01)/((((2)*M40-'Systems Param+Perf'!$C$45+'Systems Param+Perf'!$C$54+'Systems Param+Perf'!$C$61+'Systems Param+Perf'!$C$64)/'Systems Param+Perf'!$C$37)))*60)</f>
        <v>20.86136244</v>
      </c>
      <c r="D40" s="79">
        <f t="shared" si="1"/>
        <v>27.53699842</v>
      </c>
      <c r="F40" s="1">
        <f>0.5*('Aerodynamic Perf'!$B$21*A40^2*H40*'Aerodynamic Perf'!$B$10)</f>
        <v>41.15881493</v>
      </c>
      <c r="G40">
        <f t="shared" si="2"/>
        <v>4.195597852</v>
      </c>
      <c r="H40" s="80">
        <f>('Aerodynamic Perf'!$B$18+'Aerodynamic Perf'!$B$26+'Aerodynamic Perf'!$B$2+'Aerodynamic Perf'!$B$25+'Aerodynamic Perf'!$B$5)+I40^2/(PI()*'Aerodynamic Perf'!$B$6*'Aerodynamic Perf'!$B$7)</f>
        <v>0.1446239351</v>
      </c>
      <c r="I40" s="80">
        <f>('Aircraft W+B'!$C$45)/(0.5*'Aerodynamic Perf'!$B$21*A40^2*'Aerodynamic Perf'!$B$10)</f>
        <v>0.2689470462</v>
      </c>
      <c r="J40">
        <f>I40*0.5*'Aerodynamic Perf'!$B$21*A40^2*'Aerodynamic Perf'!$B$10</f>
        <v>76.54017778</v>
      </c>
      <c r="K40" s="81">
        <f t="shared" si="3"/>
        <v>1.859630262</v>
      </c>
      <c r="L40" s="81">
        <f>((((Metric!$K$5*9.80665*A40)/K40))/Metric!$C$28)*100/Metric!$C$31</f>
        <v>56.38200264</v>
      </c>
      <c r="M40" s="1">
        <f>('Systems Param+Perf'!$C$4*((G40/2)^2)+'Systems Param+Perf'!$C$5*((G40/2))+'Systems Param+Perf'!$C$6)</f>
        <v>311.3674255</v>
      </c>
    </row>
    <row r="41" ht="15.75" customHeight="1">
      <c r="A41" s="76">
        <f t="shared" si="4"/>
        <v>22.5</v>
      </c>
      <c r="B41" s="82"/>
      <c r="C41" s="129">
        <f>(((('Systems Param+Perf'!$C$36/1000)*'Systems Param+Perf'!$C$39*0.01)/((((2)*M41-'Systems Param+Perf'!$C$45+'Systems Param+Perf'!$C$54+'Systems Param+Perf'!$C$61+'Systems Param+Perf'!$C$64)/'Systems Param+Perf'!$C$37)))*60)</f>
        <v>19.57421668</v>
      </c>
      <c r="D41" s="79">
        <f t="shared" si="1"/>
        <v>26.42519252</v>
      </c>
      <c r="F41" s="1">
        <f>0.5*('Aerodynamic Perf'!$B$21*A41^2*H41*'Aerodynamic Perf'!$B$10)</f>
        <v>42.98656688</v>
      </c>
      <c r="G41">
        <f t="shared" si="2"/>
        <v>4.381913035</v>
      </c>
      <c r="H41" s="80">
        <f>('Aerodynamic Perf'!$B$18+'Aerodynamic Perf'!$B$26+'Aerodynamic Perf'!$B$2+'Aerodynamic Perf'!$B$25+'Aerodynamic Perf'!$B$5)+I41^2/(PI()*'Aerodynamic Perf'!$B$6*'Aerodynamic Perf'!$B$7)</f>
        <v>0.1444077161</v>
      </c>
      <c r="I41" s="80">
        <f>('Aircraft W+B'!$C$45)/(0.5*'Aerodynamic Perf'!$B$21*A41^2*'Aerodynamic Perf'!$B$10)</f>
        <v>0.2571266575</v>
      </c>
      <c r="J41">
        <f>I41*0.5*'Aerodynamic Perf'!$B$21*A41^2*'Aerodynamic Perf'!$B$10</f>
        <v>76.54017778</v>
      </c>
      <c r="K41" s="81">
        <f t="shared" si="3"/>
        <v>1.780560378</v>
      </c>
      <c r="L41" s="81">
        <f>((((Metric!$K$5*9.80665*A41)/K41))/Metric!$C$28)*100/Metric!$C$31</f>
        <v>60.22408837</v>
      </c>
      <c r="M41" s="1">
        <f>('Systems Param+Perf'!$C$4*((G41/2)^2)+'Systems Param+Perf'!$C$5*((G41/2))+'Systems Param+Perf'!$C$6)</f>
        <v>329.9252543</v>
      </c>
    </row>
    <row r="42" ht="15.75" customHeight="1">
      <c r="A42" s="76">
        <f t="shared" si="4"/>
        <v>23</v>
      </c>
      <c r="B42" s="82"/>
      <c r="C42" s="129">
        <f>(((('Systems Param+Perf'!$C$36/1000)*'Systems Param+Perf'!$C$39*0.01)/((((2)*M42-'Systems Param+Perf'!$C$45+'Systems Param+Perf'!$C$54+'Systems Param+Perf'!$C$61+'Systems Param+Perf'!$C$64)/'Systems Param+Perf'!$C$37)))*60)</f>
        <v>18.38417561</v>
      </c>
      <c r="D42" s="83">
        <f t="shared" si="1"/>
        <v>25.37016234</v>
      </c>
      <c r="F42" s="1">
        <f>0.5*('Aerodynamic Perf'!$B$21*A42^2*H42*'Aerodynamic Perf'!$B$10)</f>
        <v>44.85812809</v>
      </c>
      <c r="G42">
        <f t="shared" si="2"/>
        <v>4.572693995</v>
      </c>
      <c r="H42" s="80">
        <f>('Aerodynamic Perf'!$B$18+'Aerodynamic Perf'!$B$26+'Aerodynamic Perf'!$B$2+'Aerodynamic Perf'!$B$25+'Aerodynamic Perf'!$B$5)+I42^2/(PI()*'Aerodynamic Perf'!$B$6*'Aerodynamic Perf'!$B$7)</f>
        <v>0.144214241</v>
      </c>
      <c r="I42" s="80">
        <f>('Aircraft W+B'!$C$45)/(0.5*'Aerodynamic Perf'!$B$21*A42^2*'Aerodynamic Perf'!$B$10)</f>
        <v>0.2460687531</v>
      </c>
      <c r="J42">
        <f>I42*0.5*'Aerodynamic Perf'!$B$21*A42^2*'Aerodynamic Perf'!$B$10</f>
        <v>76.54017778</v>
      </c>
      <c r="K42" s="81">
        <f t="shared" si="3"/>
        <v>1.70627222</v>
      </c>
      <c r="L42" s="81">
        <f>((((Metric!$K$5*9.80665*A42)/K42))/Metric!$C$28)*100/Metric!$C$31</f>
        <v>64.24272255</v>
      </c>
      <c r="M42" s="1">
        <f>('Systems Param+Perf'!$C$4*((G42/2)^2)+'Systems Param+Perf'!$C$5*((G42/2))+'Systems Param+Perf'!$C$6)</f>
        <v>349.3949827</v>
      </c>
    </row>
    <row r="43" ht="15.75" customHeight="1">
      <c r="A43" s="76">
        <f t="shared" si="4"/>
        <v>23.5</v>
      </c>
      <c r="B43" s="82"/>
      <c r="C43" s="129">
        <f>(((('Systems Param+Perf'!$C$36/1000)*'Systems Param+Perf'!$C$39*0.01)/((((2)*M43-'Systems Param+Perf'!$C$45+'Systems Param+Perf'!$C$54+'Systems Param+Perf'!$C$61+'Systems Param+Perf'!$C$64)/'Systems Param+Perf'!$C$37)))*60)</f>
        <v>17.28255537</v>
      </c>
      <c r="D43" s="83">
        <f t="shared" si="1"/>
        <v>24.36840307</v>
      </c>
      <c r="F43" s="1">
        <f>0.5*('Aerodynamic Perf'!$B$21*A43^2*H43*'Aerodynamic Perf'!$B$10)</f>
        <v>46.77332771</v>
      </c>
      <c r="G43">
        <f t="shared" si="2"/>
        <v>4.767923314</v>
      </c>
      <c r="H43" s="80">
        <f>('Aerodynamic Perf'!$B$18+'Aerodynamic Perf'!$B$26+'Aerodynamic Perf'!$B$2+'Aerodynamic Perf'!$B$25+'Aerodynamic Perf'!$B$5)+I43^2/(PI()*'Aerodynamic Perf'!$B$6*'Aerodynamic Perf'!$B$7)</f>
        <v>0.1440406984</v>
      </c>
      <c r="I43" s="80">
        <f>('Aircraft W+B'!$C$45)/(0.5*'Aerodynamic Perf'!$B$21*A43^2*'Aerodynamic Perf'!$B$10)</f>
        <v>0.235709136</v>
      </c>
      <c r="J43">
        <f>I43*0.5*'Aerodynamic Perf'!$B$21*A43^2*'Aerodynamic Perf'!$B$10</f>
        <v>76.54017778</v>
      </c>
      <c r="K43" s="81">
        <f t="shared" si="3"/>
        <v>1.636406506</v>
      </c>
      <c r="L43" s="81">
        <f>((((Metric!$K$5*9.80665*A43)/K43))/Metric!$C$28)*100/Metric!$C$31</f>
        <v>68.44174697</v>
      </c>
      <c r="M43" s="1">
        <f>('Systems Param+Perf'!$C$4*((G43/2)^2)+'Systems Param+Perf'!$C$5*((G43/2))+'Systems Param+Perf'!$C$6)</f>
        <v>369.8079569</v>
      </c>
    </row>
    <row r="44" ht="15.75" customHeight="1">
      <c r="A44" s="76">
        <f t="shared" si="4"/>
        <v>24</v>
      </c>
      <c r="B44" s="82"/>
      <c r="C44" s="129">
        <f>(((('Systems Param+Perf'!$C$36/1000)*'Systems Param+Perf'!$C$39*0.01)/((((2)*M44-'Systems Param+Perf'!$C$45+'Systems Param+Perf'!$C$54+'Systems Param+Perf'!$C$61+'Systems Param+Perf'!$C$64)/'Systems Param+Perf'!$C$37)))*60)</f>
        <v>16.26156594</v>
      </c>
      <c r="D44" s="79">
        <f t="shared" si="1"/>
        <v>23.41665495</v>
      </c>
      <c r="F44" s="1">
        <f>0.5*('Aerodynamic Perf'!$B$21*A44^2*H44*'Aerodynamic Perf'!$B$10)</f>
        <v>48.73201249</v>
      </c>
      <c r="G44">
        <f t="shared" si="2"/>
        <v>4.967585372</v>
      </c>
      <c r="H44" s="80">
        <f>('Aerodynamic Perf'!$B$18+'Aerodynamic Perf'!$B$26+'Aerodynamic Perf'!$B$2+'Aerodynamic Perf'!$B$25+'Aerodynamic Perf'!$B$5)+I44^2/(PI()*'Aerodynamic Perf'!$B$6*'Aerodynamic Perf'!$B$7)</f>
        <v>0.1438846741</v>
      </c>
      <c r="I44" s="80">
        <f>('Aircraft W+B'!$C$45)/(0.5*'Aerodynamic Perf'!$B$21*A44^2*'Aerodynamic Perf'!$B$10)</f>
        <v>0.2259902263</v>
      </c>
      <c r="J44">
        <f>I44*0.5*'Aerodynamic Perf'!$B$21*A44^2*'Aerodynamic Perf'!$B$10</f>
        <v>76.54017778</v>
      </c>
      <c r="K44" s="81">
        <f t="shared" si="3"/>
        <v>1.570634453</v>
      </c>
      <c r="L44" s="81">
        <f>((((Metric!$K$5*9.80665*A44)/K44))/Metric!$C$28)*100/Metric!$C$31</f>
        <v>72.82500843</v>
      </c>
      <c r="M44" s="1">
        <f>('Systems Param+Perf'!$C$4*((G44/2)^2)+'Systems Param+Perf'!$C$5*((G44/2))+'Systems Param+Perf'!$C$6)</f>
        <v>391.1963136</v>
      </c>
    </row>
    <row r="45" ht="15.75" customHeight="1">
      <c r="A45" s="76">
        <f t="shared" si="4"/>
        <v>24.5</v>
      </c>
      <c r="C45" s="129">
        <f>(((('Systems Param+Perf'!$C$36/1000)*'Systems Param+Perf'!$C$39*0.01)/((((2)*M45-'Systems Param+Perf'!$C$45+'Systems Param+Perf'!$C$54+'Systems Param+Perf'!$C$61+'Systems Param+Perf'!$C$64)/'Systems Param+Perf'!$C$37)))*60)</f>
        <v>15.31420902</v>
      </c>
      <c r="D45" s="79">
        <f t="shared" si="1"/>
        <v>22.51188726</v>
      </c>
      <c r="F45" s="1">
        <f>0.5*('Aerodynamic Perf'!$B$21*A45^2*H45*'Aerodynamic Perf'!$B$10)</f>
        <v>50.73404468</v>
      </c>
      <c r="G45">
        <f t="shared" si="2"/>
        <v>5.171666124</v>
      </c>
      <c r="H45" s="80">
        <f>('Aerodynamic Perf'!$B$18+'Aerodynamic Perf'!$B$26+'Aerodynamic Perf'!$B$2+'Aerodynamic Perf'!$B$25+'Aerodynamic Perf'!$B$5)+I45^2/(PI()*'Aerodynamic Perf'!$B$6*'Aerodynamic Perf'!$B$7)</f>
        <v>0.1437440882</v>
      </c>
      <c r="I45" s="80">
        <f>('Aircraft W+B'!$C$45)/(0.5*'Aerodynamic Perf'!$B$21*A45^2*'Aerodynamic Perf'!$B$10)</f>
        <v>0.2168602588</v>
      </c>
      <c r="J45">
        <f>I45*0.5*'Aerodynamic Perf'!$B$21*A45^2*'Aerodynamic Perf'!$B$10</f>
        <v>76.54017778</v>
      </c>
      <c r="K45" s="81">
        <f t="shared" si="3"/>
        <v>1.50865515</v>
      </c>
      <c r="L45" s="81">
        <f>((((Metric!$K$5*9.80665*A45)/K45))/Metric!$C$28)*100/Metric!$C$31</f>
        <v>77.39635828</v>
      </c>
      <c r="M45" s="1">
        <f>('Systems Param+Perf'!$C$4*((G45/2)^2)+'Systems Param+Perf'!$C$5*((G45/2))+'Systems Param+Perf'!$C$6)</f>
        <v>413.5929701</v>
      </c>
    </row>
    <row r="46" ht="15.75" customHeight="1">
      <c r="A46" s="76">
        <f t="shared" si="4"/>
        <v>25</v>
      </c>
      <c r="C46" s="129">
        <f>(((('Systems Param+Perf'!$C$36/1000)*'Systems Param+Perf'!$C$39*0.01)/((((2)*M46-'Systems Param+Perf'!$C$45+'Systems Param+Perf'!$C$54+'Systems Param+Perf'!$C$61+'Systems Param+Perf'!$C$64)/'Systems Param+Perf'!$C$37)))*60)</f>
        <v>14.4341882</v>
      </c>
      <c r="D46" s="79">
        <f t="shared" si="1"/>
        <v>21.6512823</v>
      </c>
      <c r="F46" s="1">
        <f>0.5*('Aerodynamic Perf'!$B$21*A46^2*H46*'Aerodynamic Perf'!$B$10)</f>
        <v>52.77930014</v>
      </c>
      <c r="G46">
        <f t="shared" si="2"/>
        <v>5.380152919</v>
      </c>
      <c r="H46" s="80">
        <f>('Aerodynamic Perf'!$B$18+'Aerodynamic Perf'!$B$26+'Aerodynamic Perf'!$B$2+'Aerodynamic Perf'!$B$25+'Aerodynamic Perf'!$B$5)+I46^2/(PI()*'Aerodynamic Perf'!$B$6*'Aerodynamic Perf'!$B$7)</f>
        <v>0.1436171432</v>
      </c>
      <c r="I46" s="80">
        <f>('Aircraft W+B'!$C$45)/(0.5*'Aerodynamic Perf'!$B$21*A46^2*'Aerodynamic Perf'!$B$10)</f>
        <v>0.2082725926</v>
      </c>
      <c r="J46">
        <f>I46*0.5*'Aerodynamic Perf'!$B$21*A46^2*'Aerodynamic Perf'!$B$10</f>
        <v>76.54017778</v>
      </c>
      <c r="K46" s="81">
        <f t="shared" si="3"/>
        <v>1.450193117</v>
      </c>
      <c r="L46" s="81">
        <f>((((Metric!$K$5*9.80665*A46)/K46))/Metric!$C$28)*100/Metric!$C$31</f>
        <v>82.15965194</v>
      </c>
      <c r="M46" s="1">
        <f>('Systems Param+Perf'!$C$4*((G46/2)^2)+'Systems Param+Perf'!$C$5*((G46/2))+'Systems Param+Perf'!$C$6)</f>
        <v>437.0316154</v>
      </c>
    </row>
    <row r="47" ht="15.75" customHeight="1">
      <c r="A47" s="76">
        <f t="shared" si="4"/>
        <v>25.5</v>
      </c>
      <c r="C47" s="129">
        <f>(((('Systems Param+Perf'!$C$36/1000)*'Systems Param+Perf'!$C$39*0.01)/((((2)*M47-'Systems Param+Perf'!$C$45+'Systems Param+Perf'!$C$54+'Systems Param+Perf'!$C$61+'Systems Param+Perf'!$C$64)/'Systems Param+Perf'!$C$37)))*60)</f>
        <v>13.61583003</v>
      </c>
      <c r="D47" s="79">
        <f t="shared" si="1"/>
        <v>20.83221994</v>
      </c>
      <c r="F47" s="1">
        <f>0.5*('Aerodynamic Perf'!$B$21*A47^2*H47*'Aerodynamic Perf'!$B$10)</f>
        <v>54.86766679</v>
      </c>
      <c r="G47">
        <f t="shared" si="2"/>
        <v>5.593034331</v>
      </c>
      <c r="H47" s="80">
        <f>('Aerodynamic Perf'!$B$18+'Aerodynamic Perf'!$B$26+'Aerodynamic Perf'!$B$2+'Aerodynamic Perf'!$B$25+'Aerodynamic Perf'!$B$5)+I47^2/(PI()*'Aerodynamic Perf'!$B$6*'Aerodynamic Perf'!$B$7)</f>
        <v>0.1435022814</v>
      </c>
      <c r="I47" s="80">
        <f>('Aircraft W+B'!$C$45)/(0.5*'Aerodynamic Perf'!$B$21*A47^2*'Aerodynamic Perf'!$B$10)</f>
        <v>0.200185114</v>
      </c>
      <c r="J47">
        <f>I47*0.5*'Aerodynamic Perf'!$B$21*A47^2*'Aerodynamic Perf'!$B$10</f>
        <v>76.54017778</v>
      </c>
      <c r="K47" s="81">
        <f t="shared" si="3"/>
        <v>1.394996038</v>
      </c>
      <c r="L47" s="81">
        <f>((((Metric!$K$5*9.80665*A47)/K47))/Metric!$C$28)*100/Metric!$C$31</f>
        <v>87.11874849</v>
      </c>
      <c r="M47" s="1">
        <f>('Systems Param+Perf'!$C$4*((G47/2)^2)+'Systems Param+Perf'!$C$5*((G47/2))+'Systems Param+Perf'!$C$6)</f>
        <v>461.5467021</v>
      </c>
    </row>
    <row r="48" ht="15.75" customHeight="1">
      <c r="A48" s="76">
        <f t="shared" si="4"/>
        <v>26</v>
      </c>
      <c r="C48" s="129">
        <f>(((('Systems Param+Perf'!$C$36/1000)*'Systems Param+Perf'!$C$39*0.01)/((((2)*M48-'Systems Param+Perf'!$C$45+'Systems Param+Perf'!$C$54+'Systems Param+Perf'!$C$61+'Systems Param+Perf'!$C$64)/'Systems Param+Perf'!$C$37)))*60)</f>
        <v>12.85401464</v>
      </c>
      <c r="D48" s="79">
        <f t="shared" si="1"/>
        <v>20.05226283</v>
      </c>
      <c r="F48" s="1">
        <f>0.5*('Aerodynamic Perf'!$B$21*A48^2*H48*'Aerodynamic Perf'!$B$10)</f>
        <v>56.99904322</v>
      </c>
      <c r="G48">
        <f t="shared" si="2"/>
        <v>5.810300022</v>
      </c>
      <c r="H48" s="80">
        <f>('Aerodynamic Perf'!$B$18+'Aerodynamic Perf'!$B$26+'Aerodynamic Perf'!$B$2+'Aerodynamic Perf'!$B$25+'Aerodynamic Perf'!$B$5)+I48^2/(PI()*'Aerodynamic Perf'!$B$6*'Aerodynamic Perf'!$B$7)</f>
        <v>0.1433981484</v>
      </c>
      <c r="I48" s="80">
        <f>('Aircraft W+B'!$C$45)/(0.5*'Aerodynamic Perf'!$B$21*A48^2*'Aerodynamic Perf'!$B$10)</f>
        <v>0.1925597195</v>
      </c>
      <c r="J48">
        <f>I48*0.5*'Aerodynamic Perf'!$B$21*A48^2*'Aerodynamic Perf'!$B$10</f>
        <v>76.54017778</v>
      </c>
      <c r="K48" s="81">
        <f t="shared" si="3"/>
        <v>1.342832677</v>
      </c>
      <c r="L48" s="81">
        <f>((((Metric!$K$5*9.80665*A48)/K48))/Metric!$C$28)*100/Metric!$C$31</f>
        <v>92.27751033</v>
      </c>
      <c r="M48" s="1">
        <f>('Systems Param+Perf'!$C$4*((G48/2)^2)+'Systems Param+Perf'!$C$5*((G48/2))+'Systems Param+Perf'!$C$6)</f>
        <v>487.1734399</v>
      </c>
    </row>
    <row r="49" ht="15.75" customHeight="1">
      <c r="A49" s="76">
        <f t="shared" si="4"/>
        <v>26.5</v>
      </c>
      <c r="C49" s="129">
        <f>(((('Systems Param+Perf'!$C$36/1000)*'Systems Param+Perf'!$C$39*0.01)/((((2)*M49-'Systems Param+Perf'!$C$45+'Systems Param+Perf'!$C$54+'Systems Param+Perf'!$C$61+'Systems Param+Perf'!$C$64)/'Systems Param+Perf'!$C$37)))*60)</f>
        <v>12.14411477</v>
      </c>
      <c r="D49" s="79">
        <f t="shared" si="1"/>
        <v>19.30914248</v>
      </c>
      <c r="F49" s="1">
        <f>0.5*('Aerodynamic Perf'!$B$21*A49^2*H49*'Aerodynamic Perf'!$B$10)</f>
        <v>59.1733375</v>
      </c>
      <c r="G49">
        <f t="shared" si="2"/>
        <v>6.031940622</v>
      </c>
      <c r="H49" s="80">
        <f>('Aerodynamic Perf'!$B$18+'Aerodynamic Perf'!$B$26+'Aerodynamic Perf'!$B$2+'Aerodynamic Perf'!$B$25+'Aerodynamic Perf'!$B$5)+I49^2/(PI()*'Aerodynamic Perf'!$B$6*'Aerodynamic Perf'!$B$7)</f>
        <v>0.1433035639</v>
      </c>
      <c r="I49" s="80">
        <f>('Aircraft W+B'!$C$45)/(0.5*'Aerodynamic Perf'!$B$21*A49^2*'Aerodynamic Perf'!$B$10)</f>
        <v>0.185361866</v>
      </c>
      <c r="J49">
        <f>I49*0.5*'Aerodynamic Perf'!$B$21*A49^2*'Aerodynamic Perf'!$B$10</f>
        <v>76.54017778</v>
      </c>
      <c r="K49" s="81">
        <f t="shared" si="3"/>
        <v>1.293490971</v>
      </c>
      <c r="L49" s="81">
        <f>((((Metric!$K$5*9.80665*A49)/K49))/Metric!$C$28)*100/Metric!$C$31</f>
        <v>97.63980289</v>
      </c>
      <c r="M49" s="1">
        <f>('Systems Param+Perf'!$C$4*((G49/2)^2)+'Systems Param+Perf'!$C$5*((G49/2))+'Systems Param+Perf'!$C$6)</f>
        <v>513.94779</v>
      </c>
    </row>
    <row r="50" ht="15.75" customHeight="1">
      <c r="A50" s="76">
        <f t="shared" si="4"/>
        <v>27</v>
      </c>
      <c r="C50" s="129">
        <f>(((('Systems Param+Perf'!$C$36/1000)*'Systems Param+Perf'!$C$39*0.01)/((((2)*M50-'Systems Param+Perf'!$C$45+'Systems Param+Perf'!$C$54+'Systems Param+Perf'!$C$61+'Systems Param+Perf'!$C$64)/'Systems Param+Perf'!$C$37)))*60)</f>
        <v>11.48194213</v>
      </c>
      <c r="D50" s="79">
        <f t="shared" si="1"/>
        <v>18.60074625</v>
      </c>
      <c r="F50" s="1">
        <f>0.5*('Aerodynamic Perf'!$B$21*A50^2*H50*'Aerodynamic Perf'!$B$10)</f>
        <v>61.39046614</v>
      </c>
      <c r="G50">
        <f t="shared" si="2"/>
        <v>6.257947619</v>
      </c>
      <c r="H50" s="80">
        <f>('Aerodynamic Perf'!$B$18+'Aerodynamic Perf'!$B$26+'Aerodynamic Perf'!$B$2+'Aerodynamic Perf'!$B$25+'Aerodynamic Perf'!$B$5)+I50^2/(PI()*'Aerodynamic Perf'!$B$6*'Aerodynamic Perf'!$B$7)</f>
        <v>0.1432174961</v>
      </c>
      <c r="I50" s="80">
        <f>('Aircraft W+B'!$C$45)/(0.5*'Aerodynamic Perf'!$B$21*A50^2*'Aerodynamic Perf'!$B$10)</f>
        <v>0.1785601788</v>
      </c>
      <c r="J50">
        <f>I50*0.5*'Aerodynamic Perf'!$B$21*A50^2*'Aerodynamic Perf'!$B$10</f>
        <v>76.54017778</v>
      </c>
      <c r="K50" s="81">
        <f t="shared" si="3"/>
        <v>1.246776293</v>
      </c>
      <c r="L50" s="81">
        <f>((((Metric!$K$5*9.80665*A50)/K50))/Metric!$C$28)*100/Metric!$C$31</f>
        <v>103.2094943</v>
      </c>
      <c r="M50" s="1">
        <f>('Systems Param+Perf'!$C$4*((G50/2)^2)+'Systems Param+Perf'!$C$5*((G50/2))+'Systems Param+Perf'!$C$6)</f>
        <v>541.90646</v>
      </c>
    </row>
    <row r="51" ht="15.75" customHeight="1">
      <c r="A51" s="76">
        <f t="shared" si="4"/>
        <v>27.5</v>
      </c>
      <c r="C51" s="129">
        <f>(((('Systems Param+Perf'!$C$36/1000)*'Systems Param+Perf'!$C$39*0.01)/((((2)*M51-'Systems Param+Perf'!$C$45+'Systems Param+Perf'!$C$54+'Systems Param+Perf'!$C$61+'Systems Param+Perf'!$C$64)/'Systems Param+Perf'!$C$37)))*60)</f>
        <v>10.86370019</v>
      </c>
      <c r="D51" s="79">
        <f t="shared" si="1"/>
        <v>17.92510532</v>
      </c>
      <c r="F51" s="1">
        <f>0.5*('Aerodynamic Perf'!$B$21*A51^2*H51*'Aerodynamic Perf'!$B$10)</f>
        <v>63.65035315</v>
      </c>
      <c r="G51">
        <f t="shared" si="2"/>
        <v>6.488313267</v>
      </c>
      <c r="H51" s="80">
        <f>('Aerodynamic Perf'!$B$18+'Aerodynamic Perf'!$B$26+'Aerodynamic Perf'!$B$2+'Aerodynamic Perf'!$B$25+'Aerodynamic Perf'!$B$5)+I51^2/(PI()*'Aerodynamic Perf'!$B$6*'Aerodynamic Perf'!$B$7)</f>
        <v>0.1431390412</v>
      </c>
      <c r="I51" s="80">
        <f>('Aircraft W+B'!$C$45)/(0.5*'Aerodynamic Perf'!$B$21*A51^2*'Aerodynamic Perf'!$B$10)</f>
        <v>0.1721261096</v>
      </c>
      <c r="J51">
        <f>I51*0.5*'Aerodynamic Perf'!$B$21*A51^2*'Aerodynamic Perf'!$B$10</f>
        <v>76.54017778</v>
      </c>
      <c r="K51" s="81">
        <f t="shared" si="3"/>
        <v>1.202509868</v>
      </c>
      <c r="L51" s="81">
        <f>((((Metric!$K$5*9.80665*A51)/K51))/Metric!$C$28)*100/Metric!$C$31</f>
        <v>108.9904552</v>
      </c>
      <c r="M51" s="1">
        <f>('Systems Param+Perf'!$C$4*((G51/2)^2)+'Systems Param+Perf'!$C$5*((G51/2))+'Systems Param+Perf'!$C$6)</f>
        <v>571.0868994</v>
      </c>
    </row>
    <row r="52" ht="15.75" customHeight="1">
      <c r="A52" s="76">
        <f t="shared" si="4"/>
        <v>28</v>
      </c>
      <c r="C52" s="129">
        <f>(((('Systems Param+Perf'!$C$36/1000)*'Systems Param+Perf'!$C$39*0.01)/((((2)*M52-'Systems Param+Perf'!$C$45+'Systems Param+Perf'!$C$54+'Systems Param+Perf'!$C$61+'Systems Param+Perf'!$C$64)/'Systems Param+Perf'!$C$37)))*60)</f>
        <v>10.28594258</v>
      </c>
      <c r="D52" s="79">
        <f t="shared" si="1"/>
        <v>17.28038353</v>
      </c>
      <c r="F52" s="1">
        <f>0.5*('Aerodynamic Perf'!$B$21*A52^2*H52*'Aerodynamic Perf'!$B$10)</f>
        <v>65.95292928</v>
      </c>
      <c r="G52">
        <f t="shared" si="2"/>
        <v>6.723030508</v>
      </c>
      <c r="H52" s="80">
        <f>('Aerodynamic Perf'!$B$18+'Aerodynamic Perf'!$B$26+'Aerodynamic Perf'!$B$2+'Aerodynamic Perf'!$B$25+'Aerodynamic Perf'!$B$5)+I52^2/(PI()*'Aerodynamic Perf'!$B$6*'Aerodynamic Perf'!$B$7)</f>
        <v>0.1430674053</v>
      </c>
      <c r="I52" s="80">
        <f>('Aircraft W+B'!$C$45)/(0.5*'Aerodynamic Perf'!$B$21*A52^2*'Aerodynamic Perf'!$B$10)</f>
        <v>0.1660336357</v>
      </c>
      <c r="J52">
        <f>I52*0.5*'Aerodynamic Perf'!$B$21*A52^2*'Aerodynamic Perf'!$B$10</f>
        <v>76.54017778</v>
      </c>
      <c r="K52" s="81">
        <f t="shared" si="3"/>
        <v>1.160527343</v>
      </c>
      <c r="L52" s="81">
        <f>((((Metric!$K$5*9.80665*A52)/K52))/Metric!$C$28)*100/Metric!$C$31</f>
        <v>114.9865585</v>
      </c>
      <c r="M52" s="1">
        <f>('Systems Param+Perf'!$C$4*((G52/2)^2)+'Systems Param+Perf'!$C$5*((G52/2))+'Systems Param+Perf'!$C$6)</f>
        <v>601.5272961</v>
      </c>
    </row>
    <row r="53" ht="15.75" customHeight="1">
      <c r="A53" s="76">
        <f t="shared" si="4"/>
        <v>28.5</v>
      </c>
      <c r="C53" s="129">
        <f>(((('Systems Param+Perf'!$C$36/1000)*'Systems Param+Perf'!$C$39*0.01)/((((2)*M53-'Systems Param+Perf'!$C$45+'Systems Param+Perf'!$C$54+'Systems Param+Perf'!$C$61+'Systems Param+Perf'!$C$64)/'Systems Param+Perf'!$C$37)))*60)</f>
        <v>9.745536321</v>
      </c>
      <c r="D53" s="79">
        <f t="shared" si="1"/>
        <v>16.66486711</v>
      </c>
      <c r="F53" s="1">
        <f>0.5*('Aerodynamic Perf'!$B$21*A53^2*H53*'Aerodynamic Perf'!$B$10)</f>
        <v>68.2981313</v>
      </c>
      <c r="G53">
        <f t="shared" si="2"/>
        <v>6.962092895</v>
      </c>
      <c r="H53" s="80">
        <f>('Aerodynamic Perf'!$B$18+'Aerodynamic Perf'!$B$26+'Aerodynamic Perf'!$B$2+'Aerodynamic Perf'!$B$25+'Aerodynamic Perf'!$B$5)+I53^2/(PI()*'Aerodynamic Perf'!$B$6*'Aerodynamic Perf'!$B$7)</f>
        <v>0.1430018892</v>
      </c>
      <c r="I53" s="80">
        <f>('Aircraft W+B'!$C$45)/(0.5*'Aerodynamic Perf'!$B$21*A53^2*'Aerodynamic Perf'!$B$10)</f>
        <v>0.1602589971</v>
      </c>
      <c r="J53">
        <f>I53*0.5*'Aerodynamic Perf'!$B$21*A53^2*'Aerodynamic Perf'!$B$10</f>
        <v>76.54017778</v>
      </c>
      <c r="K53" s="81">
        <f t="shared" si="3"/>
        <v>1.120677482</v>
      </c>
      <c r="L53" s="81">
        <f>((((Metric!$K$5*9.80665*A53)/K53))/Metric!$C$28)*100/Metric!$C$31</f>
        <v>121.201679</v>
      </c>
      <c r="M53" s="1">
        <f>('Systems Param+Perf'!$C$4*((G53/2)^2)+'Systems Param+Perf'!$C$5*((G53/2))+'Systems Param+Perf'!$C$6)</f>
        <v>633.2665726</v>
      </c>
    </row>
    <row r="54" ht="15.75" customHeight="1">
      <c r="A54" s="76">
        <f t="shared" si="4"/>
        <v>29</v>
      </c>
      <c r="C54" s="129">
        <f>(((('Systems Param+Perf'!$C$36/1000)*'Systems Param+Perf'!$C$39*0.01)/((((2)*M54-'Systems Param+Perf'!$C$45+'Systems Param+Perf'!$C$54+'Systems Param+Perf'!$C$61+'Systems Param+Perf'!$C$64)/'Systems Param+Perf'!$C$37)))*60)</f>
        <v>9.239629466</v>
      </c>
      <c r="D54" s="79">
        <f t="shared" si="1"/>
        <v>16.07695527</v>
      </c>
      <c r="F54" s="1">
        <f>0.5*('Aerodynamic Perf'!$B$21*A54^2*H54*'Aerodynamic Perf'!$B$10)</f>
        <v>70.68590137</v>
      </c>
      <c r="G54">
        <f t="shared" si="2"/>
        <v>7.205494533</v>
      </c>
      <c r="H54" s="80">
        <f>('Aerodynamic Perf'!$B$18+'Aerodynamic Perf'!$B$26+'Aerodynamic Perf'!$B$2+'Aerodynamic Perf'!$B$25+'Aerodynamic Perf'!$B$5)+I54^2/(PI()*'Aerodynamic Perf'!$B$6*'Aerodynamic Perf'!$B$7)</f>
        <v>0.1429418763</v>
      </c>
      <c r="I54" s="80">
        <f>('Aircraft W+B'!$C$45)/(0.5*'Aerodynamic Perf'!$B$21*A54^2*'Aerodynamic Perf'!$B$10)</f>
        <v>0.1547804642</v>
      </c>
      <c r="J54">
        <f>I54*0.5*'Aerodynamic Perf'!$B$21*A54^2*'Aerodynamic Perf'!$B$10</f>
        <v>76.54017778</v>
      </c>
      <c r="K54" s="81">
        <f t="shared" si="3"/>
        <v>1.082820991</v>
      </c>
      <c r="L54" s="81">
        <f>((((Metric!$K$5*9.80665*A54)/K54))/Metric!$C$28)*100/Metric!$C$31</f>
        <v>127.6396937</v>
      </c>
      <c r="M54" s="1">
        <f>('Systems Param+Perf'!$C$4*((G54/2)^2)+'Systems Param+Perf'!$C$5*((G54/2))+'Systems Param+Perf'!$C$6)</f>
        <v>666.3443833</v>
      </c>
    </row>
    <row r="55" ht="15.75" customHeight="1">
      <c r="A55" s="76">
        <f t="shared" si="4"/>
        <v>29.5</v>
      </c>
      <c r="C55" s="129">
        <f>(((('Systems Param+Perf'!$C$36/1000)*'Systems Param+Perf'!$C$39*0.01)/((((2)*M55-'Systems Param+Perf'!$C$45+'Systems Param+Perf'!$C$54+'Systems Param+Perf'!$C$61+'Systems Param+Perf'!$C$64)/'Systems Param+Perf'!$C$37)))*60)</f>
        <v>8.765622349</v>
      </c>
      <c r="D55" s="79">
        <f t="shared" si="1"/>
        <v>15.51515156</v>
      </c>
      <c r="F55" s="1">
        <f>0.5*('Aerodynamic Perf'!$B$21*A55^2*H55*'Aerodynamic Perf'!$B$10)</f>
        <v>73.11618652</v>
      </c>
      <c r="G55">
        <f t="shared" si="2"/>
        <v>7.453230023</v>
      </c>
      <c r="H55" s="80">
        <f>('Aerodynamic Perf'!$B$18+'Aerodynamic Perf'!$B$26+'Aerodynamic Perf'!$B$2+'Aerodynamic Perf'!$B$25+'Aerodynamic Perf'!$B$5)+I55^2/(PI()*'Aerodynamic Perf'!$B$6*'Aerodynamic Perf'!$B$7)</f>
        <v>0.142886821</v>
      </c>
      <c r="I55" s="80">
        <f>('Aircraft W+B'!$C$45)/(0.5*'Aerodynamic Perf'!$B$21*A55^2*'Aerodynamic Perf'!$B$10)</f>
        <v>0.1495781331</v>
      </c>
      <c r="J55">
        <f>I55*0.5*'Aerodynamic Perf'!$B$21*A55^2*'Aerodynamic Perf'!$B$10</f>
        <v>76.54017778</v>
      </c>
      <c r="K55" s="81">
        <f t="shared" si="3"/>
        <v>1.046829456</v>
      </c>
      <c r="L55" s="81">
        <f>((((Metric!$K$5*9.80665*A55)/K55))/Metric!$C$28)*100/Metric!$C$31</f>
        <v>134.304481</v>
      </c>
      <c r="M55" s="1">
        <f>('Systems Param+Perf'!$C$4*((G55/2)^2)+'Systems Param+Perf'!$C$5*((G55/2))+'Systems Param+Perf'!$C$6)</f>
        <v>700.8011122</v>
      </c>
    </row>
    <row r="56" ht="15.75" customHeight="1">
      <c r="A56" s="76">
        <f t="shared" si="4"/>
        <v>30</v>
      </c>
      <c r="C56" s="129">
        <f>(((('Systems Param+Perf'!$C$36/1000)*'Systems Param+Perf'!$C$39*0.01)/((((2)*M56-'Systems Param+Perf'!$C$45+'Systems Param+Perf'!$C$54+'Systems Param+Perf'!$C$61+'Systems Param+Perf'!$C$64)/'Systems Param+Perf'!$C$37)))*60)</f>
        <v>8.321142176</v>
      </c>
      <c r="D56" s="79">
        <f t="shared" si="1"/>
        <v>14.97805592</v>
      </c>
      <c r="F56" s="1">
        <f>0.5*('Aerodynamic Perf'!$B$21*A56^2*H56*'Aerodynamic Perf'!$B$10)</f>
        <v>75.58893817</v>
      </c>
      <c r="G56">
        <f t="shared" si="2"/>
        <v>7.70529441</v>
      </c>
      <c r="H56" s="80">
        <f>('Aerodynamic Perf'!$B$18+'Aerodynamic Perf'!$B$26+'Aerodynamic Perf'!$B$2+'Aerodynamic Perf'!$B$25+'Aerodynamic Perf'!$B$5)+I56^2/(PI()*'Aerodynamic Perf'!$B$6*'Aerodynamic Perf'!$B$7)</f>
        <v>0.1428362399</v>
      </c>
      <c r="I56" s="80">
        <f>('Aircraft W+B'!$C$45)/(0.5*'Aerodynamic Perf'!$B$21*A56^2*'Aerodynamic Perf'!$B$10)</f>
        <v>0.1446337449</v>
      </c>
      <c r="J56">
        <f>I56*0.5*'Aerodynamic Perf'!$B$21*A56^2*'Aerodynamic Perf'!$B$10</f>
        <v>76.54017778</v>
      </c>
      <c r="K56" s="81">
        <f t="shared" si="3"/>
        <v>1.012584376</v>
      </c>
      <c r="L56" s="81">
        <f>((((Metric!$K$5*9.80665*A56)/K56))/Metric!$C$28)*100/Metric!$C$31</f>
        <v>141.1999212</v>
      </c>
      <c r="M56" s="1">
        <f>('Systems Param+Perf'!$C$4*((G56/2)^2)+'Systems Param+Perf'!$C$5*((G56/2))+'Systems Param+Perf'!$C$6)</f>
        <v>736.67787</v>
      </c>
    </row>
    <row r="57" ht="15.75" customHeight="1">
      <c r="A57" s="76">
        <f t="shared" si="4"/>
        <v>30.5</v>
      </c>
      <c r="C57" s="129">
        <f>(((('Systems Param+Perf'!$C$36/1000)*'Systems Param+Perf'!$C$39*0.01)/((((2)*M57-'Systems Param+Perf'!$C$45+'Systems Param+Perf'!$C$54+'Systems Param+Perf'!$C$61+'Systems Param+Perf'!$C$64)/'Systems Param+Perf'!$C$37)))*60)</f>
        <v>7.904020463</v>
      </c>
      <c r="D57" s="79">
        <f t="shared" si="1"/>
        <v>14.46435745</v>
      </c>
      <c r="F57" s="1">
        <f>0.5*('Aerodynamic Perf'!$B$21*A57^2*H57*'Aerodynamic Perf'!$B$10)</f>
        <v>78.10411165</v>
      </c>
      <c r="G57">
        <f t="shared" si="2"/>
        <v>7.961683145</v>
      </c>
      <c r="H57" s="80">
        <f>('Aerodynamic Perf'!$B$18+'Aerodynamic Perf'!$B$26+'Aerodynamic Perf'!$B$2+'Aerodynamic Perf'!$B$25+'Aerodynamic Perf'!$B$5)+I57^2/(PI()*'Aerodynamic Perf'!$B$6*'Aerodynamic Perf'!$B$7)</f>
        <v>0.1427897037</v>
      </c>
      <c r="I57" s="80">
        <f>('Aircraft W+B'!$C$45)/(0.5*'Aerodynamic Perf'!$B$21*A57^2*'Aerodynamic Perf'!$B$10)</f>
        <v>0.1399305245</v>
      </c>
      <c r="J57">
        <f>I57*0.5*'Aerodynamic Perf'!$B$21*A57^2*'Aerodynamic Perf'!$B$10</f>
        <v>76.54017778</v>
      </c>
      <c r="K57" s="81">
        <f t="shared" si="3"/>
        <v>0.9799762926</v>
      </c>
      <c r="L57" s="81">
        <f>((((Metric!$K$5*9.80665*A57)/K57))/Metric!$C$28)*100/Metric!$C$31</f>
        <v>148.3298957</v>
      </c>
      <c r="M57" s="1">
        <f>('Systems Param+Perf'!$C$4*((G57/2)^2)+'Systems Param+Perf'!$C$5*((G57/2))+'Systems Param+Perf'!$C$6)</f>
        <v>774.0164926</v>
      </c>
    </row>
    <row r="58" ht="15.75" customHeight="1">
      <c r="A58" s="76">
        <f t="shared" si="4"/>
        <v>31</v>
      </c>
      <c r="C58" s="129">
        <f>(((('Systems Param+Perf'!$C$36/1000)*'Systems Param+Perf'!$C$39*0.01)/((((2)*M58-'Systems Param+Perf'!$C$45+'Systems Param+Perf'!$C$54+'Systems Param+Perf'!$C$61+'Systems Param+Perf'!$C$64)/'Systems Param+Perf'!$C$37)))*60)</f>
        <v>7.512272987</v>
      </c>
      <c r="D58" s="79">
        <f t="shared" si="1"/>
        <v>13.97282776</v>
      </c>
      <c r="F58" s="1">
        <f>0.5*('Aerodynamic Perf'!$B$21*A58^2*H58*'Aerodynamic Perf'!$B$10)</f>
        <v>80.66166591</v>
      </c>
      <c r="G58">
        <f t="shared" si="2"/>
        <v>8.22239204</v>
      </c>
      <c r="H58" s="80">
        <f>('Aerodynamic Perf'!$B$18+'Aerodynamic Perf'!$B$26+'Aerodynamic Perf'!$B$2+'Aerodynamic Perf'!$B$25+'Aerodynamic Perf'!$B$5)+I58^2/(PI()*'Aerodynamic Perf'!$B$6*'Aerodynamic Perf'!$B$7)</f>
        <v>0.1427468303</v>
      </c>
      <c r="I58" s="80">
        <f>('Aircraft W+B'!$C$45)/(0.5*'Aerodynamic Perf'!$B$21*A58^2*'Aerodynamic Perf'!$B$10)</f>
        <v>0.1354530389</v>
      </c>
      <c r="J58">
        <f>I58*0.5*'Aerodynamic Perf'!$B$21*A58^2*'Aerodynamic Perf'!$B$10</f>
        <v>76.54017778</v>
      </c>
      <c r="K58" s="81">
        <f t="shared" si="3"/>
        <v>0.9489040043</v>
      </c>
      <c r="L58" s="81">
        <f>((((Metric!$K$5*9.80665*A58)/K58))/Metric!$C$28)*100/Metric!$C$31</f>
        <v>155.6982876</v>
      </c>
      <c r="M58" s="1">
        <f>('Systems Param+Perf'!$C$4*((G58/2)^2)+'Systems Param+Perf'!$C$5*((G58/2))+'Systems Param+Perf'!$C$6)</f>
        <v>812.859539</v>
      </c>
    </row>
    <row r="59" ht="15.75" customHeight="1">
      <c r="A59" s="76">
        <f t="shared" si="4"/>
        <v>31.5</v>
      </c>
      <c r="C59" s="129">
        <f>(((('Systems Param+Perf'!$C$36/1000)*'Systems Param+Perf'!$C$39*0.01)/((((2)*M59-'Systems Param+Perf'!$C$45+'Systems Param+Perf'!$C$54+'Systems Param+Perf'!$C$61+'Systems Param+Perf'!$C$64)/'Systems Param+Perf'!$C$37)))*60)</f>
        <v>7.144081942</v>
      </c>
      <c r="D59" s="79">
        <f t="shared" si="1"/>
        <v>13.50231487</v>
      </c>
      <c r="F59" s="1">
        <f>0.5*('Aerodynamic Perf'!$B$21*A59^2*H59*'Aerodynamic Perf'!$B$10)</f>
        <v>83.2615631</v>
      </c>
      <c r="G59">
        <f t="shared" si="2"/>
        <v>8.487417238</v>
      </c>
      <c r="H59" s="80">
        <f>('Aerodynamic Perf'!$B$18+'Aerodynamic Perf'!$B$26+'Aerodynamic Perf'!$B$2+'Aerodynamic Perf'!$B$25+'Aerodynamic Perf'!$B$5)+I59^2/(PI()*'Aerodynamic Perf'!$B$6*'Aerodynamic Perf'!$B$7)</f>
        <v>0.1427072792</v>
      </c>
      <c r="I59" s="80">
        <f>('Aircraft W+B'!$C$45)/(0.5*'Aerodynamic Perf'!$B$21*A59^2*'Aerodynamic Perf'!$B$10)</f>
        <v>0.1311870702</v>
      </c>
      <c r="J59">
        <f>I59*0.5*'Aerodynamic Perf'!$B$21*A59^2*'Aerodynamic Perf'!$B$10</f>
        <v>76.54017778</v>
      </c>
      <c r="K59" s="81">
        <f t="shared" si="3"/>
        <v>0.9192738513</v>
      </c>
      <c r="L59" s="81">
        <f>((((Metric!$K$5*9.80665*A59)/K59))/Metric!$C$28)*100/Metric!$C$31</f>
        <v>163.3089809</v>
      </c>
      <c r="M59" s="1">
        <f>('Systems Param+Perf'!$C$4*((G59/2)^2)+'Systems Param+Perf'!$C$5*((G59/2))+'Systems Param+Perf'!$C$6)</f>
        <v>853.25029</v>
      </c>
    </row>
    <row r="60" ht="15.75" customHeight="1">
      <c r="A60" s="76">
        <f t="shared" si="4"/>
        <v>32</v>
      </c>
      <c r="C60" s="129">
        <f>(((('Systems Param+Perf'!$C$36/1000)*'Systems Param+Perf'!$C$39*0.01)/((((2)*M60-'Systems Param+Perf'!$C$45+'Systems Param+Perf'!$C$54+'Systems Param+Perf'!$C$61+'Systems Param+Perf'!$C$64)/'Systems Param+Perf'!$C$37)))*60)</f>
        <v>6.797780033</v>
      </c>
      <c r="D60" s="79">
        <f t="shared" si="1"/>
        <v>13.05173766</v>
      </c>
      <c r="F60" s="1">
        <f>0.5*('Aerodynamic Perf'!$B$21*A60^2*H60*'Aerodynamic Perf'!$B$10)</f>
        <v>85.90376832</v>
      </c>
      <c r="G60">
        <f t="shared" si="2"/>
        <v>8.75675518</v>
      </c>
      <c r="H60" s="80">
        <f>('Aerodynamic Perf'!$B$18+'Aerodynamic Perf'!$B$26+'Aerodynamic Perf'!$B$2+'Aerodynamic Perf'!$B$25+'Aerodynamic Perf'!$B$5)+I60^2/(PI()*'Aerodynamic Perf'!$B$6*'Aerodynamic Perf'!$B$7)</f>
        <v>0.1426707462</v>
      </c>
      <c r="I60" s="80">
        <f>('Aircraft W+B'!$C$45)/(0.5*'Aerodynamic Perf'!$B$21*A60^2*'Aerodynamic Perf'!$B$10)</f>
        <v>0.1271195023</v>
      </c>
      <c r="J60">
        <f>I60*0.5*'Aerodynamic Perf'!$B$21*A60^2*'Aerodynamic Perf'!$B$10</f>
        <v>76.54017778</v>
      </c>
      <c r="K60" s="81">
        <f t="shared" si="3"/>
        <v>0.8909990711</v>
      </c>
      <c r="L60" s="81">
        <f>((((Metric!$K$5*9.80665*A60)/K60))/Metric!$C$28)*100/Metric!$C$31</f>
        <v>171.1658608</v>
      </c>
      <c r="M60" s="1">
        <f>('Systems Param+Perf'!$C$4*((G60/2)^2)+'Systems Param+Perf'!$C$5*((G60/2))+'Systems Param+Perf'!$C$6)</f>
        <v>895.2327464</v>
      </c>
    </row>
    <row r="61" ht="15.75" customHeight="1">
      <c r="A61" s="76">
        <f t="shared" si="4"/>
        <v>32.5</v>
      </c>
      <c r="C61" s="129">
        <f>(((('Systems Param+Perf'!$C$36/1000)*'Systems Param+Perf'!$C$39*0.01)/((((2)*M61-'Systems Param+Perf'!$C$45+'Systems Param+Perf'!$C$54+'Systems Param+Perf'!$C$61+'Systems Param+Perf'!$C$64)/'Systems Param+Perf'!$C$37)))*60)</f>
        <v>6.471836279</v>
      </c>
      <c r="D61" s="79">
        <f t="shared" si="1"/>
        <v>12.62008074</v>
      </c>
      <c r="F61" s="1">
        <f>0.5*('Aerodynamic Perf'!$B$21*A61^2*H61*'Aerodynamic Perf'!$B$10)</f>
        <v>88.58824932</v>
      </c>
      <c r="G61">
        <f t="shared" si="2"/>
        <v>9.030402581</v>
      </c>
      <c r="H61" s="80">
        <f>('Aerodynamic Perf'!$B$18+'Aerodynamic Perf'!$B$26+'Aerodynamic Perf'!$B$2+'Aerodynamic Perf'!$B$25+'Aerodynamic Perf'!$B$5)+I61^2/(PI()*'Aerodynamic Perf'!$B$6*'Aerodynamic Perf'!$B$7)</f>
        <v>0.142636959</v>
      </c>
      <c r="I61" s="80">
        <f>('Aircraft W+B'!$C$45)/(0.5*'Aerodynamic Perf'!$B$21*A61^2*'Aerodynamic Perf'!$B$10)</f>
        <v>0.1232382205</v>
      </c>
      <c r="J61">
        <f>I61*0.5*'Aerodynamic Perf'!$B$21*A61^2*'Aerodynamic Perf'!$B$10</f>
        <v>76.54017778</v>
      </c>
      <c r="K61" s="81">
        <f t="shared" si="3"/>
        <v>0.863999214</v>
      </c>
      <c r="L61" s="81">
        <f>((((Metric!$K$5*9.80665*A61)/K61))/Metric!$C$28)*100/Metric!$C$31</f>
        <v>179.2728139</v>
      </c>
      <c r="M61" s="1">
        <f>('Systems Param+Perf'!$C$4*((G61/2)^2)+'Systems Param+Perf'!$C$5*((G61/2))+'Systems Param+Perf'!$C$6)</f>
        <v>938.8516281</v>
      </c>
    </row>
    <row r="62" ht="15.75" customHeight="1">
      <c r="A62" s="76">
        <f t="shared" si="4"/>
        <v>33</v>
      </c>
      <c r="C62" s="129">
        <f>(((('Systems Param+Perf'!$C$36/1000)*'Systems Param+Perf'!$C$39*0.01)/((((2)*M62-'Systems Param+Perf'!$C$45+'Systems Param+Perf'!$C$54+'Systems Param+Perf'!$C$61+'Systems Param+Perf'!$C$64)/'Systems Param+Perf'!$C$37)))*60)</f>
        <v>6.164843322</v>
      </c>
      <c r="D62" s="79">
        <f t="shared" si="1"/>
        <v>12.20638978</v>
      </c>
      <c r="F62" s="1">
        <f>0.5*('Aerodynamic Perf'!$B$21*A62^2*H62*'Aerodynamic Perf'!$B$10)</f>
        <v>91.31497628</v>
      </c>
      <c r="G62">
        <f t="shared" si="2"/>
        <v>9.3083564</v>
      </c>
      <c r="H62" s="80">
        <f>('Aerodynamic Perf'!$B$18+'Aerodynamic Perf'!$B$26+'Aerodynamic Perf'!$B$2+'Aerodynamic Perf'!$B$25+'Aerodynamic Perf'!$B$5)+I62^2/(PI()*'Aerodynamic Perf'!$B$6*'Aerodynamic Perf'!$B$7)</f>
        <v>0.1426056738</v>
      </c>
      <c r="I62" s="80">
        <f>('Aircraft W+B'!$C$45)/(0.5*'Aerodynamic Perf'!$B$21*A62^2*'Aerodynamic Perf'!$B$10)</f>
        <v>0.1195320205</v>
      </c>
      <c r="J62">
        <f>I62*0.5*'Aerodynamic Perf'!$B$21*A62^2*'Aerodynamic Perf'!$B$10</f>
        <v>76.54017778</v>
      </c>
      <c r="K62" s="81">
        <f t="shared" si="3"/>
        <v>0.8381996129</v>
      </c>
      <c r="L62" s="81">
        <f>((((Metric!$K$5*9.80665*A62)/K62))/Metric!$C$28)*100/Metric!$C$31</f>
        <v>187.6337272</v>
      </c>
      <c r="M62" s="1">
        <f>('Systems Param+Perf'!$C$4*((G62/2)^2)+'Systems Param+Perf'!$C$5*((G62/2))+'Systems Param+Perf'!$C$6)</f>
        <v>984.1523727</v>
      </c>
    </row>
    <row r="63" ht="15.75" customHeight="1">
      <c r="A63" s="76">
        <f t="shared" si="4"/>
        <v>33.5</v>
      </c>
      <c r="C63" s="129">
        <f>(((('Systems Param+Perf'!$C$36/1000)*'Systems Param+Perf'!$C$39*0.01)/((((2)*M63-'Systems Param+Perf'!$C$45+'Systems Param+Perf'!$C$54+'Systems Param+Perf'!$C$61+'Systems Param+Perf'!$C$64)/'Systems Param+Perf'!$C$37)))*60)</f>
        <v>5.875506055</v>
      </c>
      <c r="D63" s="79">
        <f t="shared" si="1"/>
        <v>11.80976717</v>
      </c>
      <c r="F63" s="1">
        <f>0.5*('Aerodynamic Perf'!$B$21*A63^2*H63*'Aerodynamic Perf'!$B$10)</f>
        <v>94.08392161</v>
      </c>
      <c r="G63">
        <f t="shared" si="2"/>
        <v>9.590613823</v>
      </c>
      <c r="H63" s="80">
        <f>('Aerodynamic Perf'!$B$18+'Aerodynamic Perf'!$B$26+'Aerodynamic Perf'!$B$2+'Aerodynamic Perf'!$B$25+'Aerodynamic Perf'!$B$5)+I63^2/(PI()*'Aerodynamic Perf'!$B$6*'Aerodynamic Perf'!$B$7)</f>
        <v>0.1425766713</v>
      </c>
      <c r="I63" s="80">
        <f>('Aircraft W+B'!$C$45)/(0.5*'Aerodynamic Perf'!$B$21*A63^2*'Aerodynamic Perf'!$B$10)</f>
        <v>0.1159905283</v>
      </c>
      <c r="J63">
        <f>I63*0.5*'Aerodynamic Perf'!$B$21*A63^2*'Aerodynamic Perf'!$B$10</f>
        <v>76.54017778</v>
      </c>
      <c r="K63" s="81">
        <f t="shared" si="3"/>
        <v>0.8135309038</v>
      </c>
      <c r="L63" s="81">
        <f>((((Metric!$K$5*9.80665*A63)/K63))/Metric!$C$28)*100/Metric!$C$31</f>
        <v>196.252489</v>
      </c>
      <c r="M63" s="1">
        <f>('Systems Param+Perf'!$C$4*((G63/2)^2)+'Systems Param+Perf'!$C$5*((G63/2))+'Systems Param+Perf'!$C$6)</f>
        <v>1031.181135</v>
      </c>
    </row>
    <row r="64" ht="15.75" customHeight="1">
      <c r="A64" s="76">
        <f t="shared" si="4"/>
        <v>34</v>
      </c>
      <c r="C64" s="129">
        <f>(((('Systems Param+Perf'!$C$36/1000)*'Systems Param+Perf'!$C$39*0.01)/((((2)*M64-'Systems Param+Perf'!$C$45+'Systems Param+Perf'!$C$54+'Systems Param+Perf'!$C$61+'Systems Param+Perf'!$C$64)/'Systems Param+Perf'!$C$37)))*60)</f>
        <v>5.602631437</v>
      </c>
      <c r="D64" s="79">
        <f t="shared" si="1"/>
        <v>11.42936813</v>
      </c>
      <c r="F64" s="1">
        <f>0.5*('Aerodynamic Perf'!$B$21*A64^2*H64*'Aerodynamic Perf'!$B$10)</f>
        <v>96.89505969</v>
      </c>
      <c r="G64">
        <f t="shared" si="2"/>
        <v>9.877172241</v>
      </c>
      <c r="H64" s="80">
        <f>('Aerodynamic Perf'!$B$18+'Aerodynamic Perf'!$B$26+'Aerodynamic Perf'!$B$2+'Aerodynamic Perf'!$B$25+'Aerodynamic Perf'!$B$5)+I64^2/(PI()*'Aerodynamic Perf'!$B$6*'Aerodynamic Perf'!$B$7)</f>
        <v>0.1425497547</v>
      </c>
      <c r="I64" s="80">
        <f>('Aircraft W+B'!$C$45)/(0.5*'Aerodynamic Perf'!$B$21*A64^2*'Aerodynamic Perf'!$B$10)</f>
        <v>0.1126041266</v>
      </c>
      <c r="J64">
        <f>I64*0.5*'Aerodynamic Perf'!$B$21*A64^2*'Aerodynamic Perf'!$B$10</f>
        <v>76.54017778</v>
      </c>
      <c r="K64" s="81">
        <f t="shared" si="3"/>
        <v>0.789928589</v>
      </c>
      <c r="L64" s="81">
        <f>((((Metric!$K$5*9.80665*A64)/K64))/Metric!$C$28)*100/Metric!$C$31</f>
        <v>205.1329883</v>
      </c>
      <c r="M64" s="1">
        <f>('Systems Param+Perf'!$C$4*((G64/2)^2)+'Systems Param+Perf'!$C$5*((G64/2))+'Systems Param+Perf'!$C$6)</f>
        <v>1079.984785</v>
      </c>
    </row>
    <row r="65" ht="15.75" customHeight="1">
      <c r="A65" s="76">
        <f t="shared" si="4"/>
        <v>34.5</v>
      </c>
      <c r="C65" s="129">
        <f>(((('Systems Param+Perf'!$C$36/1000)*'Systems Param+Perf'!$C$39*0.01)/((((2)*M65-'Systems Param+Perf'!$C$45+'Systems Param+Perf'!$C$54+'Systems Param+Perf'!$C$61+'Systems Param+Perf'!$C$64)/'Systems Param+Perf'!$C$37)))*60)</f>
        <v>5.345119339</v>
      </c>
      <c r="D65" s="79">
        <f t="shared" si="1"/>
        <v>11.06439703</v>
      </c>
      <c r="F65" s="1">
        <f>0.5*('Aerodynamic Perf'!$B$21*A65^2*H65*'Aerodynamic Perf'!$B$10)</f>
        <v>99.74836678</v>
      </c>
      <c r="G65">
        <f t="shared" si="2"/>
        <v>10.16802923</v>
      </c>
      <c r="H65" s="80">
        <f>('Aerodynamic Perf'!$B$18+'Aerodynamic Perf'!$B$26+'Aerodynamic Perf'!$B$2+'Aerodynamic Perf'!$B$25+'Aerodynamic Perf'!$B$5)+I65^2/(PI()*'Aerodynamic Perf'!$B$6*'Aerodynamic Perf'!$B$7)</f>
        <v>0.1425247465</v>
      </c>
      <c r="I65" s="80">
        <f>('Aircraft W+B'!$C$45)/(0.5*'Aerodynamic Perf'!$B$21*A65^2*'Aerodynamic Perf'!$B$10)</f>
        <v>0.1093638903</v>
      </c>
      <c r="J65">
        <f>I65*0.5*'Aerodynamic Perf'!$B$21*A65^2*'Aerodynamic Perf'!$B$10</f>
        <v>76.54017778</v>
      </c>
      <c r="K65" s="81">
        <f t="shared" si="3"/>
        <v>0.7673326416</v>
      </c>
      <c r="L65" s="81">
        <f>((((Metric!$K$5*9.80665*A65)/K65))/Metric!$C$28)*100/Metric!$C$31</f>
        <v>214.2791148</v>
      </c>
      <c r="M65" s="1">
        <f>('Systems Param+Perf'!$C$4*((G65/2)^2)+'Systems Param+Perf'!$C$5*((G65/2))+'Systems Param+Perf'!$C$6)</f>
        <v>1130.610908</v>
      </c>
    </row>
    <row r="66" ht="15.75" customHeight="1">
      <c r="A66" s="76">
        <f t="shared" si="4"/>
        <v>35</v>
      </c>
      <c r="C66" s="129">
        <f>(((('Systems Param+Perf'!$C$36/1000)*'Systems Param+Perf'!$C$39*0.01)/((((2)*M66-'Systems Param+Perf'!$C$45+'Systems Param+Perf'!$C$54+'Systems Param+Perf'!$C$61+'Systems Param+Perf'!$C$64)/'Systems Param+Perf'!$C$37)))*60)</f>
        <v>5.101954317</v>
      </c>
      <c r="D66" s="79">
        <f t="shared" si="1"/>
        <v>10.71410407</v>
      </c>
      <c r="F66" s="1">
        <f>0.5*('Aerodynamic Perf'!$B$21*A66^2*H66*'Aerodynamic Perf'!$B$10)</f>
        <v>102.6438208</v>
      </c>
      <c r="G66">
        <f t="shared" si="2"/>
        <v>10.46318255</v>
      </c>
      <c r="H66" s="80">
        <f>('Aerodynamic Perf'!$B$18+'Aerodynamic Perf'!$B$26+'Aerodynamic Perf'!$B$2+'Aerodynamic Perf'!$B$25+'Aerodynamic Perf'!$B$5)+I66^2/(PI()*'Aerodynamic Perf'!$B$6*'Aerodynamic Perf'!$B$7)</f>
        <v>0.1425014866</v>
      </c>
      <c r="I66" s="80">
        <f>('Aircraft W+B'!$C$45)/(0.5*'Aerodynamic Perf'!$B$21*A66^2*'Aerodynamic Perf'!$B$10)</f>
        <v>0.1062615268</v>
      </c>
      <c r="J66">
        <f>I66*0.5*'Aerodynamic Perf'!$B$21*A66^2*'Aerodynamic Perf'!$B$10</f>
        <v>76.54017778</v>
      </c>
      <c r="K66" s="81">
        <f t="shared" si="3"/>
        <v>0.7456871459</v>
      </c>
      <c r="L66" s="81">
        <f>((((Metric!$K$5*9.80665*A66)/K66))/Metric!$C$28)*100/Metric!$C$31</f>
        <v>223.6947591</v>
      </c>
      <c r="M66" s="1">
        <f>('Systems Param+Perf'!$C$4*((G66/2)^2)+'Systems Param+Perf'!$C$5*((G66/2))+'Systems Param+Perf'!$C$6)</f>
        <v>1183.107804</v>
      </c>
    </row>
    <row r="67" ht="15.75" customHeight="1">
      <c r="A67" s="76">
        <f t="shared" si="4"/>
        <v>35.5</v>
      </c>
      <c r="C67" s="129">
        <f>(((('Systems Param+Perf'!$C$36/1000)*'Systems Param+Perf'!$C$39*0.01)/((((2)*M67-'Systems Param+Perf'!$C$45+'Systems Param+Perf'!$C$54+'Systems Param+Perf'!$C$61+'Systems Param+Perf'!$C$64)/'Systems Param+Perf'!$C$37)))*60)</f>
        <v>4.872198199</v>
      </c>
      <c r="D67" s="79">
        <f t="shared" si="1"/>
        <v>10.37778216</v>
      </c>
      <c r="F67" s="1">
        <f>0.5*('Aerodynamic Perf'!$B$21*A67^2*H67*'Aerodynamic Perf'!$B$10)</f>
        <v>105.5814012</v>
      </c>
      <c r="G67">
        <f t="shared" si="2"/>
        <v>10.7626301</v>
      </c>
      <c r="H67" s="80">
        <f>('Aerodynamic Perf'!$B$18+'Aerodynamic Perf'!$B$26+'Aerodynamic Perf'!$B$2+'Aerodynamic Perf'!$B$25+'Aerodynamic Perf'!$B$5)+I67^2/(PI()*'Aerodynamic Perf'!$B$6*'Aerodynamic Perf'!$B$7)</f>
        <v>0.1424798304</v>
      </c>
      <c r="I67" s="80">
        <f>('Aircraft W+B'!$C$45)/(0.5*'Aerodynamic Perf'!$B$21*A67^2*'Aerodynamic Perf'!$B$10)</f>
        <v>0.1032893238</v>
      </c>
      <c r="J67">
        <f>I67*0.5*'Aerodynamic Perf'!$B$21*A67^2*'Aerodynamic Perf'!$B$10</f>
        <v>76.54017778</v>
      </c>
      <c r="K67" s="81">
        <f t="shared" si="3"/>
        <v>0.7249399693</v>
      </c>
      <c r="L67" s="81">
        <f>((((Metric!$K$5*9.80665*A67)/K67))/Metric!$C$28)*100/Metric!$C$31</f>
        <v>233.3838122</v>
      </c>
      <c r="M67" s="1">
        <f>('Systems Param+Perf'!$C$4*((G67/2)^2)+'Systems Param+Perf'!$C$5*((G67/2))+'Systems Param+Perf'!$C$6)</f>
        <v>1237.524487</v>
      </c>
    </row>
    <row r="68" ht="15.75" customHeight="1">
      <c r="A68" s="76">
        <f t="shared" si="4"/>
        <v>36</v>
      </c>
      <c r="C68" s="129">
        <f>(((('Systems Param+Perf'!$C$36/1000)*'Systems Param+Perf'!$C$39*0.01)/((((2)*M68-'Systems Param+Perf'!$C$45+'Systems Param+Perf'!$C$54+'Systems Param+Perf'!$C$61+'Systems Param+Perf'!$C$64)/'Systems Param+Perf'!$C$37)))*60)</f>
        <v>4.654983411</v>
      </c>
      <c r="D68" s="79">
        <f t="shared" si="1"/>
        <v>10.05476417</v>
      </c>
      <c r="F68" s="1">
        <f>0.5*('Aerodynamic Perf'!$B$21*A68^2*H68*'Aerodynamic Perf'!$B$10)</f>
        <v>108.561089</v>
      </c>
      <c r="G68">
        <f t="shared" si="2"/>
        <v>11.06636993</v>
      </c>
      <c r="H68" s="80">
        <f>('Aerodynamic Perf'!$B$18+'Aerodynamic Perf'!$B$26+'Aerodynamic Perf'!$B$2+'Aerodynamic Perf'!$B$25+'Aerodynamic Perf'!$B$5)+I68^2/(PI()*'Aerodynamic Perf'!$B$6*'Aerodynamic Perf'!$B$7)</f>
        <v>0.1424596469</v>
      </c>
      <c r="I68" s="80">
        <f>('Aircraft W+B'!$C$45)/(0.5*'Aerodynamic Perf'!$B$21*A68^2*'Aerodynamic Perf'!$B$10)</f>
        <v>0.1004401006</v>
      </c>
      <c r="J68">
        <f>I68*0.5*'Aerodynamic Perf'!$B$21*A68^2*'Aerodynamic Perf'!$B$10</f>
        <v>76.54017778</v>
      </c>
      <c r="K68" s="81">
        <f t="shared" si="3"/>
        <v>0.7050424649</v>
      </c>
      <c r="L68" s="81">
        <f>((((Metric!$K$5*9.80665*A68)/K68))/Metric!$C$28)*100/Metric!$C$31</f>
        <v>243.350166</v>
      </c>
      <c r="M68" s="1">
        <f>('Systems Param+Perf'!$C$4*((G68/2)^2)+'Systems Param+Perf'!$C$5*((G68/2))+'Systems Param+Perf'!$C$6)</f>
        <v>1293.910683</v>
      </c>
    </row>
    <row r="69" ht="15.75" customHeight="1">
      <c r="A69" s="76">
        <f t="shared" si="4"/>
        <v>36.5</v>
      </c>
      <c r="C69" s="129">
        <f>(((('Systems Param+Perf'!$C$36/1000)*'Systems Param+Perf'!$C$39*0.01)/((((2)*M69-'Systems Param+Perf'!$C$45+'Systems Param+Perf'!$C$54+'Systems Param+Perf'!$C$61+'Systems Param+Perf'!$C$64)/'Systems Param+Perf'!$C$37)))*60)</f>
        <v>4.449506938</v>
      </c>
      <c r="D69" s="79">
        <f t="shared" si="1"/>
        <v>9.744420195</v>
      </c>
      <c r="F69" s="1">
        <f>0.5*('Aerodynamic Perf'!$B$21*A69^2*H69*'Aerodynamic Perf'!$B$10)</f>
        <v>111.5828662</v>
      </c>
      <c r="G69">
        <f t="shared" si="2"/>
        <v>11.37440023</v>
      </c>
      <c r="H69" s="80">
        <f>('Aerodynamic Perf'!$B$18+'Aerodynamic Perf'!$B$26+'Aerodynamic Perf'!$B$2+'Aerodynamic Perf'!$B$25+'Aerodynamic Perf'!$B$5)+I69^2/(PI()*'Aerodynamic Perf'!$B$6*'Aerodynamic Perf'!$B$7)</f>
        <v>0.1424408176</v>
      </c>
      <c r="I69" s="80">
        <f>('Aircraft W+B'!$C$45)/(0.5*'Aerodynamic Perf'!$B$21*A69^2*'Aerodynamic Perf'!$B$10)</f>
        <v>0.09770716485</v>
      </c>
      <c r="J69">
        <f>I69*0.5*'Aerodynamic Perf'!$B$21*A69^2*'Aerodynamic Perf'!$B$10</f>
        <v>76.54017778</v>
      </c>
      <c r="K69" s="81">
        <f t="shared" si="3"/>
        <v>0.6859491996</v>
      </c>
      <c r="L69" s="81">
        <f>((((Metric!$K$5*9.80665*A69)/K69))/Metric!$C$28)*100/Metric!$C$31</f>
        <v>253.5977128</v>
      </c>
      <c r="M69" s="1">
        <f>('Systems Param+Perf'!$C$4*((G69/2)^2)+'Systems Param+Perf'!$C$5*((G69/2))+'Systems Param+Perf'!$C$6)</f>
        <v>1352.316832</v>
      </c>
    </row>
    <row r="70" ht="15.75" customHeight="1">
      <c r="A70" s="76">
        <f t="shared" si="4"/>
        <v>37</v>
      </c>
      <c r="C70" s="129">
        <f>(((('Systems Param+Perf'!$C$36/1000)*'Systems Param+Perf'!$C$39*0.01)/((((2)*M70-'Systems Param+Perf'!$C$45+'Systems Param+Perf'!$C$54+'Systems Param+Perf'!$C$61+'Systems Param+Perf'!$C$64)/'Systems Param+Perf'!$C$37)))*60)</f>
        <v>4.255024876</v>
      </c>
      <c r="D70" s="79">
        <f t="shared" si="1"/>
        <v>9.446155225</v>
      </c>
      <c r="F70" s="1">
        <f>0.5*('Aerodynamic Perf'!$B$21*A70^2*H70*'Aerodynamic Perf'!$B$10)</f>
        <v>114.6467163</v>
      </c>
      <c r="G70">
        <f t="shared" si="2"/>
        <v>11.6867193</v>
      </c>
      <c r="H70" s="80">
        <f>('Aerodynamic Perf'!$B$18+'Aerodynamic Perf'!$B$26+'Aerodynamic Perf'!$B$2+'Aerodynamic Perf'!$B$25+'Aerodynamic Perf'!$B$5)+I70^2/(PI()*'Aerodynamic Perf'!$B$6*'Aerodynamic Perf'!$B$7)</f>
        <v>0.142423235</v>
      </c>
      <c r="I70" s="80">
        <f>('Aircraft W+B'!$C$45)/(0.5*'Aerodynamic Perf'!$B$21*A70^2*'Aerodynamic Perf'!$B$10)</f>
        <v>0.09508427346</v>
      </c>
      <c r="J70">
        <f>I70*0.5*'Aerodynamic Perf'!$B$21*A70^2*'Aerodynamic Perf'!$B$10</f>
        <v>76.54017778</v>
      </c>
      <c r="K70" s="81">
        <f t="shared" si="3"/>
        <v>0.6676177061</v>
      </c>
      <c r="L70" s="81">
        <f>((((Metric!$K$5*9.80665*A70)/K70))/Metric!$C$28)*100/Metric!$C$31</f>
        <v>264.1303455</v>
      </c>
      <c r="M70" s="1">
        <f>('Systems Param+Perf'!$C$4*((G70/2)^2)+'Systems Param+Perf'!$C$5*((G70/2))+'Systems Param+Perf'!$C$6)</f>
        <v>1412.794085</v>
      </c>
    </row>
    <row r="71" ht="15.75" customHeight="1">
      <c r="A71" s="76">
        <f t="shared" si="4"/>
        <v>37.5</v>
      </c>
      <c r="C71" s="129">
        <f>(((('Systems Param+Perf'!$C$36/1000)*'Systems Param+Perf'!$C$39*0.01)/((((2)*M71-'Systems Param+Perf'!$C$45+'Systems Param+Perf'!$C$54+'Systems Param+Perf'!$C$61+'Systems Param+Perf'!$C$64)/'Systems Param+Perf'!$C$37)))*60)</f>
        <v>4.070847493</v>
      </c>
      <c r="D71" s="79">
        <f t="shared" si="1"/>
        <v>9.15940686</v>
      </c>
      <c r="F71" s="1">
        <f>0.5*('Aerodynamic Perf'!$B$21*A71^2*H71*'Aerodynamic Perf'!$B$10)</f>
        <v>117.7526238</v>
      </c>
      <c r="G71">
        <f t="shared" si="2"/>
        <v>12.00332557</v>
      </c>
      <c r="H71" s="80">
        <f>('Aerodynamic Perf'!$B$18+'Aerodynamic Perf'!$B$26+'Aerodynamic Perf'!$B$2+'Aerodynamic Perf'!$B$25+'Aerodynamic Perf'!$B$5)+I71^2/(PI()*'Aerodynamic Perf'!$B$6*'Aerodynamic Perf'!$B$7)</f>
        <v>0.1424068013</v>
      </c>
      <c r="I71" s="80">
        <f>('Aircraft W+B'!$C$45)/(0.5*'Aerodynamic Perf'!$B$21*A71^2*'Aerodynamic Perf'!$B$10)</f>
        <v>0.09256559671</v>
      </c>
      <c r="J71">
        <f>I71*0.5*'Aerodynamic Perf'!$B$21*A71^2*'Aerodynamic Perf'!$B$10</f>
        <v>76.54017778</v>
      </c>
      <c r="K71" s="81">
        <f t="shared" si="3"/>
        <v>0.6500082571</v>
      </c>
      <c r="L71" s="81">
        <f>((((Metric!$K$5*9.80665*A71)/K71))/Metric!$C$28)*100/Metric!$C$31</f>
        <v>274.9519574</v>
      </c>
      <c r="M71" s="1">
        <f>('Systems Param+Perf'!$C$4*((G71/2)^2)+'Systems Param+Perf'!$C$5*((G71/2))+'Systems Param+Perf'!$C$6)</f>
        <v>1475.394304</v>
      </c>
    </row>
    <row r="72" ht="15.75" customHeight="1">
      <c r="A72" s="76">
        <f t="shared" si="4"/>
        <v>38</v>
      </c>
      <c r="C72" s="129">
        <f>(((('Systems Param+Perf'!$C$36/1000)*'Systems Param+Perf'!$C$39*0.01)/((((2)*M72-'Systems Param+Perf'!$C$45+'Systems Param+Perf'!$C$54+'Systems Param+Perf'!$C$61+'Systems Param+Perf'!$C$64)/'Systems Param+Perf'!$C$37)))*60)</f>
        <v>3.89633476</v>
      </c>
      <c r="D72" s="79">
        <f t="shared" si="1"/>
        <v>8.883643253</v>
      </c>
      <c r="F72" s="1">
        <f>0.5*('Aerodynamic Perf'!$B$21*A72^2*H72*'Aerodynamic Perf'!$B$10)</f>
        <v>120.9005742</v>
      </c>
      <c r="G72">
        <f t="shared" si="2"/>
        <v>12.32421755</v>
      </c>
      <c r="H72" s="80">
        <f>('Aerodynamic Perf'!$B$18+'Aerodynamic Perf'!$B$26+'Aerodynamic Perf'!$B$2+'Aerodynamic Perf'!$B$25+'Aerodynamic Perf'!$B$5)+I72^2/(PI()*'Aerodynamic Perf'!$B$6*'Aerodynamic Perf'!$B$7)</f>
        <v>0.1423914275</v>
      </c>
      <c r="I72" s="80">
        <f>('Aircraft W+B'!$C$45)/(0.5*'Aerodynamic Perf'!$B$21*A72^2*'Aerodynamic Perf'!$B$10)</f>
        <v>0.09014568585</v>
      </c>
      <c r="J72">
        <f>I72*0.5*'Aerodynamic Perf'!$B$21*A72^2*'Aerodynamic Perf'!$B$10</f>
        <v>76.54017778</v>
      </c>
      <c r="K72" s="81">
        <f t="shared" si="3"/>
        <v>0.6330836583</v>
      </c>
      <c r="L72" s="81">
        <f>((((Metric!$K$5*9.80665*A72)/K72))/Metric!$C$28)*100/Metric!$C$31</f>
        <v>286.0664423</v>
      </c>
      <c r="M72" s="1">
        <f>('Systems Param+Perf'!$C$4*((G72/2)^2)+'Systems Param+Perf'!$C$5*((G72/2))+'Systems Param+Perf'!$C$6)</f>
        <v>1540.170064</v>
      </c>
    </row>
    <row r="73" ht="15.75" customHeight="1">
      <c r="A73" s="76">
        <f t="shared" si="4"/>
        <v>38.5</v>
      </c>
      <c r="C73" s="129">
        <f>(((('Systems Param+Perf'!$C$36/1000)*'Systems Param+Perf'!$C$39*0.01)/((((2)*M73-'Systems Param+Perf'!$C$45+'Systems Param+Perf'!$C$54+'Systems Param+Perf'!$C$61+'Systems Param+Perf'!$C$64)/'Systems Param+Perf'!$C$37)))*60)</f>
        <v>3.730892288</v>
      </c>
      <c r="D73" s="79">
        <f t="shared" si="1"/>
        <v>8.618361186</v>
      </c>
      <c r="F73" s="1">
        <f>0.5*('Aerodynamic Perf'!$B$21*A73^2*H73*'Aerodynamic Perf'!$B$10)</f>
        <v>124.0905538</v>
      </c>
      <c r="G73">
        <f t="shared" si="2"/>
        <v>12.64939386</v>
      </c>
      <c r="H73" s="80">
        <f>('Aerodynamic Perf'!$B$18+'Aerodynamic Perf'!$B$26+'Aerodynamic Perf'!$B$2+'Aerodynamic Perf'!$B$25+'Aerodynamic Perf'!$B$5)+I73^2/(PI()*'Aerodynamic Perf'!$B$6*'Aerodynamic Perf'!$B$7)</f>
        <v>0.1423770327</v>
      </c>
      <c r="I73" s="80">
        <f>('Aircraft W+B'!$C$45)/(0.5*'Aerodynamic Perf'!$B$21*A73^2*'Aerodynamic Perf'!$B$10)</f>
        <v>0.08781944366</v>
      </c>
      <c r="J73">
        <f>I73*0.5*'Aerodynamic Perf'!$B$21*A73^2*'Aerodynamic Perf'!$B$10</f>
        <v>76.54017778</v>
      </c>
      <c r="K73" s="81">
        <f t="shared" si="3"/>
        <v>0.6168090595</v>
      </c>
      <c r="L73" s="81">
        <f>((((Metric!$K$5*9.80665*A73)/K73))/Metric!$C$28)*100/Metric!$C$31</f>
        <v>297.4776947</v>
      </c>
      <c r="M73" s="1">
        <f>('Systems Param+Perf'!$C$4*((G73/2)^2)+'Systems Param+Perf'!$C$5*((G73/2))+'Systems Param+Perf'!$C$6)</f>
        <v>1607.174651</v>
      </c>
    </row>
    <row r="74" ht="15.75" customHeight="1">
      <c r="A74" s="76">
        <f t="shared" si="4"/>
        <v>39</v>
      </c>
      <c r="C74" s="129">
        <f>(((('Systems Param+Perf'!$C$36/1000)*'Systems Param+Perf'!$C$39*0.01)/((((2)*M74-'Systems Param+Perf'!$C$45+'Systems Param+Perf'!$C$54+'Systems Param+Perf'!$C$61+'Systems Param+Perf'!$C$64)/'Systems Param+Perf'!$C$37)))*60)</f>
        <v>3.573967646</v>
      </c>
      <c r="D74" s="79">
        <f t="shared" si="1"/>
        <v>8.363084292</v>
      </c>
      <c r="F74" s="1">
        <f>0.5*('Aerodynamic Perf'!$B$21*A74^2*H74*'Aerodynamic Perf'!$B$10)</f>
        <v>127.32255</v>
      </c>
      <c r="G74">
        <f t="shared" si="2"/>
        <v>12.97885321</v>
      </c>
      <c r="H74" s="80">
        <f>('Aerodynamic Perf'!$B$18+'Aerodynamic Perf'!$B$26+'Aerodynamic Perf'!$B$2+'Aerodynamic Perf'!$B$25+'Aerodynamic Perf'!$B$5)+I74^2/(PI()*'Aerodynamic Perf'!$B$6*'Aerodynamic Perf'!$B$7)</f>
        <v>0.1423635431</v>
      </c>
      <c r="I74" s="80">
        <f>('Aircraft W+B'!$C$45)/(0.5*'Aerodynamic Perf'!$B$21*A74^2*'Aerodynamic Perf'!$B$10)</f>
        <v>0.08558209755</v>
      </c>
      <c r="J74">
        <f>I74*0.5*'Aerodynamic Perf'!$B$21*A74^2*'Aerodynamic Perf'!$B$10</f>
        <v>76.54017778</v>
      </c>
      <c r="K74" s="81">
        <f t="shared" si="3"/>
        <v>0.6011517816</v>
      </c>
      <c r="L74" s="81">
        <f>((((Metric!$K$5*9.80665*A74)/K74))/Metric!$C$28)*100/Metric!$C$31</f>
        <v>309.189609</v>
      </c>
      <c r="M74" s="1">
        <f>('Systems Param+Perf'!$C$4*((G74/2)^2)+'Systems Param+Perf'!$C$5*((G74/2))+'Systems Param+Perf'!$C$6)</f>
        <v>1676.462059</v>
      </c>
    </row>
    <row r="75" ht="15.75" customHeight="1">
      <c r="A75" s="76">
        <f t="shared" si="4"/>
        <v>39.5</v>
      </c>
      <c r="C75" s="129">
        <f>(((('Systems Param+Perf'!$C$36/1000)*'Systems Param+Perf'!$C$39*0.01)/((((2)*M75-'Systems Param+Perf'!$C$45+'Systems Param+Perf'!$C$54+'Systems Param+Perf'!$C$61+'Systems Param+Perf'!$C$64)/'Systems Param+Perf'!$C$37)))*60)</f>
        <v>3.425047003</v>
      </c>
      <c r="D75" s="79">
        <f t="shared" si="1"/>
        <v>8.117361398</v>
      </c>
      <c r="F75" s="1">
        <f>0.5*('Aerodynamic Perf'!$B$21*A75^2*H75*'Aerodynamic Perf'!$B$10)</f>
        <v>130.5965509</v>
      </c>
      <c r="G75">
        <f t="shared" si="2"/>
        <v>13.31259439</v>
      </c>
      <c r="H75" s="80">
        <f>('Aerodynamic Perf'!$B$18+'Aerodynamic Perf'!$B$26+'Aerodynamic Perf'!$B$2+'Aerodynamic Perf'!$B$25+'Aerodynamic Perf'!$B$5)+I75^2/(PI()*'Aerodynamic Perf'!$B$6*'Aerodynamic Perf'!$B$7)</f>
        <v>0.142350891</v>
      </c>
      <c r="I75" s="80">
        <f>('Aircraft W+B'!$C$45)/(0.5*'Aerodynamic Perf'!$B$21*A75^2*'Aerodynamic Perf'!$B$10)</f>
        <v>0.08342917505</v>
      </c>
      <c r="J75">
        <f>I75*0.5*'Aerodynamic Perf'!$B$21*A75^2*'Aerodynamic Perf'!$B$10</f>
        <v>76.54017778</v>
      </c>
      <c r="K75" s="81">
        <f t="shared" si="3"/>
        <v>0.5860811579</v>
      </c>
      <c r="L75" s="81">
        <f>((((Metric!$K$5*9.80665*A75)/K75))/Metric!$C$28)*100/Metric!$C$31</f>
        <v>321.2060804</v>
      </c>
      <c r="M75" s="1">
        <f>('Systems Param+Perf'!$C$4*((G75/2)^2)+'Systems Param+Perf'!$C$5*((G75/2))+'Systems Param+Perf'!$C$6)</f>
        <v>1748.086994</v>
      </c>
    </row>
    <row r="76" ht="15.75" customHeight="1">
      <c r="A76" s="76">
        <f t="shared" si="4"/>
        <v>40</v>
      </c>
      <c r="C76" s="129">
        <f>(((('Systems Param+Perf'!$C$36/1000)*'Systems Param+Perf'!$C$39*0.01)/((((2)*M76-'Systems Param+Perf'!$C$45+'Systems Param+Perf'!$C$54+'Systems Param+Perf'!$C$61+'Systems Param+Perf'!$C$64)/'Systems Param+Perf'!$C$37)))*60)</f>
        <v>3.283652082</v>
      </c>
      <c r="D76" s="79">
        <f t="shared" si="1"/>
        <v>7.880764997</v>
      </c>
      <c r="F76" s="1">
        <f>0.5*('Aerodynamic Perf'!$B$21*A76^2*H76*'Aerodynamic Perf'!$B$10)</f>
        <v>133.9125454</v>
      </c>
      <c r="G76">
        <f t="shared" si="2"/>
        <v>13.65061624</v>
      </c>
      <c r="H76" s="80">
        <f>('Aerodynamic Perf'!$B$18+'Aerodynamic Perf'!$B$26+'Aerodynamic Perf'!$B$2+'Aerodynamic Perf'!$B$25+'Aerodynamic Perf'!$B$5)+I76^2/(PI()*'Aerodynamic Perf'!$B$6*'Aerodynamic Perf'!$B$7)</f>
        <v>0.1423390151</v>
      </c>
      <c r="I76" s="80">
        <f>('Aircraft W+B'!$C$45)/(0.5*'Aerodynamic Perf'!$B$21*A76^2*'Aerodynamic Perf'!$B$10)</f>
        <v>0.08135648148</v>
      </c>
      <c r="J76">
        <f>I76*0.5*'Aerodynamic Perf'!$B$21*A76^2*'Aerodynamic Perf'!$B$10</f>
        <v>76.54017778</v>
      </c>
      <c r="K76" s="81">
        <f t="shared" si="3"/>
        <v>0.5715683887</v>
      </c>
      <c r="L76" s="81">
        <f>((((Metric!$K$5*9.80665*A76)/K76))/Metric!$C$28)*100/Metric!$C$31</f>
        <v>333.5310044</v>
      </c>
      <c r="M76" s="1">
        <f>('Systems Param+Perf'!$C$4*((G76/2)^2)+'Systems Param+Perf'!$C$5*((G76/2))+'Systems Param+Perf'!$C$6)</f>
        <v>1822.104873</v>
      </c>
    </row>
    <row r="77" ht="15.75" customHeight="1">
      <c r="A77" s="76">
        <f t="shared" si="4"/>
        <v>40.5</v>
      </c>
      <c r="C77" s="129">
        <f>(((('Systems Param+Perf'!$C$36/1000)*'Systems Param+Perf'!$C$39*0.01)/((((2)*M77-'Systems Param+Perf'!$C$45+'Systems Param+Perf'!$C$54+'Systems Param+Perf'!$C$61+'Systems Param+Perf'!$C$64)/'Systems Param+Perf'!$C$37)))*60)</f>
        <v>3.149337371</v>
      </c>
      <c r="D77" s="79">
        <f t="shared" si="1"/>
        <v>7.652889812</v>
      </c>
      <c r="F77" s="1">
        <f>0.5*('Aerodynamic Perf'!$B$21*A77^2*H77*'Aerodynamic Perf'!$B$10)</f>
        <v>137.2705228</v>
      </c>
      <c r="G77">
        <f t="shared" si="2"/>
        <v>13.99291772</v>
      </c>
      <c r="H77" s="80">
        <f>('Aerodynamic Perf'!$B$18+'Aerodynamic Perf'!$B$26+'Aerodynamic Perf'!$B$2+'Aerodynamic Perf'!$B$25+'Aerodynamic Perf'!$B$5)+I77^2/(PI()*'Aerodynamic Perf'!$B$6*'Aerodynamic Perf'!$B$7)</f>
        <v>0.1423278586</v>
      </c>
      <c r="I77" s="80">
        <f>('Aircraft W+B'!$C$45)/(0.5*'Aerodynamic Perf'!$B$21*A77^2*'Aerodynamic Perf'!$B$10)</f>
        <v>0.07936007948</v>
      </c>
      <c r="J77">
        <f>I77*0.5*'Aerodynamic Perf'!$B$21*A77^2*'Aerodynamic Perf'!$B$10</f>
        <v>76.54017778</v>
      </c>
      <c r="K77" s="81">
        <f t="shared" si="3"/>
        <v>0.5575864081</v>
      </c>
      <c r="L77" s="81">
        <f>((((Metric!$K$5*9.80665*A77)/K77))/Metric!$C$28)*100/Metric!$C$31</f>
        <v>346.1682767</v>
      </c>
      <c r="M77" s="1">
        <f>('Systems Param+Perf'!$C$4*((G77/2)^2)+'Systems Param+Perf'!$C$5*((G77/2))+'Systems Param+Perf'!$C$6)</f>
        <v>1898.57182</v>
      </c>
    </row>
    <row r="78" ht="15.75" customHeight="1">
      <c r="A78" s="76">
        <f t="shared" si="4"/>
        <v>41</v>
      </c>
      <c r="C78" s="129">
        <f>(((('Systems Param+Perf'!$C$36/1000)*'Systems Param+Perf'!$C$39*0.01)/((((2)*M78-'Systems Param+Perf'!$C$45+'Systems Param+Perf'!$C$54+'Systems Param+Perf'!$C$61+'Systems Param+Perf'!$C$64)/'Systems Param+Perf'!$C$37)))*60)</f>
        <v>3.021687591</v>
      </c>
      <c r="D78" s="79">
        <f t="shared" si="1"/>
        <v>7.433351473</v>
      </c>
      <c r="F78" s="1">
        <f>0.5*('Aerodynamic Perf'!$B$21*A78^2*H78*'Aerodynamic Perf'!$B$10)</f>
        <v>140.6704735</v>
      </c>
      <c r="G78">
        <f t="shared" si="2"/>
        <v>14.33949781</v>
      </c>
      <c r="H78" s="80">
        <f>('Aerodynamic Perf'!$B$18+'Aerodynamic Perf'!$B$26+'Aerodynamic Perf'!$B$2+'Aerodynamic Perf'!$B$25+'Aerodynamic Perf'!$B$5)+I78^2/(PI()*'Aerodynamic Perf'!$B$6*'Aerodynamic Perf'!$B$7)</f>
        <v>0.1423173701</v>
      </c>
      <c r="I78" s="80">
        <f>('Aircraft W+B'!$C$45)/(0.5*'Aerodynamic Perf'!$B$21*A78^2*'Aerodynamic Perf'!$B$10)</f>
        <v>0.0774362703</v>
      </c>
      <c r="J78">
        <f>I78*0.5*'Aerodynamic Perf'!$B$21*A78^2*'Aerodynamic Perf'!$B$10</f>
        <v>76.54017778</v>
      </c>
      <c r="K78" s="81">
        <f t="shared" si="3"/>
        <v>0.5441097613</v>
      </c>
      <c r="L78" s="81">
        <f>((((Metric!$K$5*9.80665*A78)/K78))/Metric!$C$28)*100/Metric!$C$31</f>
        <v>359.1217933</v>
      </c>
      <c r="M78" s="1">
        <f>('Systems Param+Perf'!$C$4*((G78/2)^2)+'Systems Param+Perf'!$C$5*((G78/2))+'Systems Param+Perf'!$C$6)</f>
        <v>1977.544671</v>
      </c>
    </row>
    <row r="79" ht="15.75" customHeight="1">
      <c r="A79" s="76">
        <f t="shared" si="4"/>
        <v>41.5</v>
      </c>
      <c r="C79" s="129">
        <f>(((('Systems Param+Perf'!$C$36/1000)*'Systems Param+Perf'!$C$39*0.01)/((((2)*M79-'Systems Param+Perf'!$C$45+'Systems Param+Perf'!$C$54+'Systems Param+Perf'!$C$61+'Systems Param+Perf'!$C$64)/'Systems Param+Perf'!$C$37)))*60)</f>
        <v>2.900315373</v>
      </c>
      <c r="D79" s="79">
        <f t="shared" si="1"/>
        <v>7.221785278</v>
      </c>
      <c r="F79" s="1">
        <f>0.5*('Aerodynamic Perf'!$B$21*A79^2*H79*'Aerodynamic Perf'!$B$10)</f>
        <v>144.1123882</v>
      </c>
      <c r="G79">
        <f t="shared" si="2"/>
        <v>14.69035557</v>
      </c>
      <c r="H79" s="80">
        <f>('Aerodynamic Perf'!$B$18+'Aerodynamic Perf'!$B$26+'Aerodynamic Perf'!$B$2+'Aerodynamic Perf'!$B$25+'Aerodynamic Perf'!$B$5)+I79^2/(PI()*'Aerodynamic Perf'!$B$6*'Aerodynamic Perf'!$B$7)</f>
        <v>0.1423075021</v>
      </c>
      <c r="I79" s="80">
        <f>('Aircraft W+B'!$C$45)/(0.5*'Aerodynamic Perf'!$B$21*A79^2*'Aerodynamic Perf'!$B$10)</f>
        <v>0.07558157664</v>
      </c>
      <c r="J79">
        <f>I79*0.5*'Aerodynamic Perf'!$B$21*A79^2*'Aerodynamic Perf'!$B$10</f>
        <v>76.54017778</v>
      </c>
      <c r="K79" s="81">
        <f t="shared" si="3"/>
        <v>0.5311144916</v>
      </c>
      <c r="L79" s="81">
        <f>((((Metric!$K$5*9.80665*A79)/K79))/Metric!$C$28)*100/Metric!$C$31</f>
        <v>372.3954507</v>
      </c>
      <c r="M79" s="1">
        <f>('Systems Param+Perf'!$C$4*((G79/2)^2)+'Systems Param+Perf'!$C$5*((G79/2))+'Systems Param+Perf'!$C$6)</f>
        <v>2059.080971</v>
      </c>
    </row>
    <row r="80" ht="15.75" customHeight="1">
      <c r="A80" s="76">
        <f t="shared" si="4"/>
        <v>42</v>
      </c>
      <c r="C80" s="129">
        <f>(((('Systems Param+Perf'!$C$36/1000)*'Systems Param+Perf'!$C$39*0.01)/((((2)*M80-'Systems Param+Perf'!$C$45+'Systems Param+Perf'!$C$54+'Systems Param+Perf'!$C$61+'Systems Param+Perf'!$C$64)/'Systems Param+Perf'!$C$37)))*60)</f>
        <v>2.784859142</v>
      </c>
      <c r="D80" s="79">
        <f t="shared" si="1"/>
        <v>7.017845038</v>
      </c>
      <c r="F80" s="1">
        <f>0.5*('Aerodynamic Perf'!$B$21*A80^2*H80*'Aerodynamic Perf'!$B$10)</f>
        <v>147.5962581</v>
      </c>
      <c r="G80">
        <f t="shared" si="2"/>
        <v>15.04549012</v>
      </c>
      <c r="H80" s="80">
        <f>('Aerodynamic Perf'!$B$18+'Aerodynamic Perf'!$B$26+'Aerodynamic Perf'!$B$2+'Aerodynamic Perf'!$B$25+'Aerodynamic Perf'!$B$5)+I80^2/(PI()*'Aerodynamic Perf'!$B$6*'Aerodynamic Perf'!$B$7)</f>
        <v>0.1422982111</v>
      </c>
      <c r="I80" s="80">
        <f>('Aircraft W+B'!$C$45)/(0.5*'Aerodynamic Perf'!$B$21*A80^2*'Aerodynamic Perf'!$B$10)</f>
        <v>0.07379272697</v>
      </c>
      <c r="J80">
        <f>I80*0.5*'Aerodynamic Perf'!$B$21*A80^2*'Aerodynamic Perf'!$B$10</f>
        <v>76.54017778</v>
      </c>
      <c r="K80" s="81">
        <f t="shared" si="3"/>
        <v>0.518578037</v>
      </c>
      <c r="L80" s="81">
        <f>((((Metric!$K$5*9.80665*A80)/K80))/Metric!$C$28)*100/Metric!$C$31</f>
        <v>385.9931456</v>
      </c>
      <c r="M80" s="1">
        <f>('Systems Param+Perf'!$C$4*((G80/2)^2)+'Systems Param+Perf'!$C$5*((G80/2))+'Systems Param+Perf'!$C$6)</f>
        <v>2143.238972</v>
      </c>
    </row>
    <row r="81" ht="15.75" customHeight="1">
      <c r="A81" s="76"/>
      <c r="C81" s="79"/>
      <c r="D81" s="79"/>
      <c r="H81" s="80"/>
      <c r="I81" s="80"/>
      <c r="K81" s="81"/>
      <c r="L81" s="81"/>
    </row>
    <row r="82" ht="15.75" customHeight="1">
      <c r="A82" s="76"/>
      <c r="C82" s="79"/>
      <c r="D82" s="79"/>
      <c r="H82" s="80"/>
      <c r="I82" s="80"/>
      <c r="K82" s="81"/>
      <c r="L82" s="81"/>
    </row>
    <row r="83" ht="15.75" customHeight="1">
      <c r="A83" s="76"/>
      <c r="C83" s="79"/>
      <c r="D83" s="79"/>
      <c r="H83" s="80"/>
      <c r="I83" s="80"/>
      <c r="K83" s="81"/>
      <c r="L83" s="81"/>
    </row>
    <row r="84" ht="15.75" customHeight="1">
      <c r="A84" s="76"/>
      <c r="C84" s="79"/>
      <c r="D84" s="79"/>
      <c r="H84" s="80"/>
      <c r="I84" s="80"/>
      <c r="K84" s="81"/>
      <c r="L84" s="81"/>
    </row>
    <row r="85" ht="15.75" customHeight="1">
      <c r="A85" s="76"/>
      <c r="C85" s="79"/>
      <c r="D85" s="79"/>
      <c r="H85" s="80"/>
      <c r="I85" s="80"/>
      <c r="K85" s="81"/>
      <c r="L85" s="81"/>
    </row>
    <row r="86" ht="15.75" customHeight="1">
      <c r="A86" s="76"/>
      <c r="C86" s="79"/>
      <c r="D86" s="79"/>
      <c r="H86" s="80"/>
      <c r="I86" s="80"/>
      <c r="K86" s="81"/>
      <c r="L86" s="81"/>
    </row>
    <row r="87" ht="15.75" customHeight="1">
      <c r="A87" s="76"/>
      <c r="C87" s="79"/>
      <c r="D87" s="79"/>
      <c r="H87" s="80"/>
      <c r="I87" s="80"/>
      <c r="K87" s="81"/>
      <c r="L87" s="81"/>
    </row>
    <row r="88" ht="15.75" customHeight="1">
      <c r="A88" s="76"/>
      <c r="C88" s="79"/>
      <c r="D88" s="79"/>
      <c r="H88" s="80"/>
      <c r="I88" s="80"/>
      <c r="K88" s="81"/>
      <c r="L88" s="81"/>
    </row>
    <row r="89" ht="15.75" customHeight="1">
      <c r="A89" s="76"/>
      <c r="C89" s="79"/>
      <c r="D89" s="79"/>
      <c r="H89" s="80"/>
      <c r="I89" s="80"/>
      <c r="K89" s="81"/>
      <c r="L89" s="81"/>
    </row>
    <row r="90" ht="15.75" customHeight="1">
      <c r="A90" s="76"/>
      <c r="C90" s="79"/>
      <c r="D90" s="79"/>
      <c r="H90" s="80"/>
      <c r="I90" s="80"/>
      <c r="K90" s="81"/>
      <c r="L90" s="81"/>
    </row>
    <row r="91" ht="15.75" customHeight="1">
      <c r="A91" s="76"/>
      <c r="C91" s="79"/>
      <c r="D91" s="79"/>
      <c r="H91" s="80"/>
      <c r="I91" s="80"/>
      <c r="K91" s="81"/>
      <c r="L91" s="81"/>
    </row>
    <row r="92" ht="15.75" customHeight="1">
      <c r="A92" s="76"/>
      <c r="C92" s="79"/>
      <c r="D92" s="79"/>
      <c r="H92" s="80"/>
      <c r="I92" s="80"/>
      <c r="K92" s="81"/>
      <c r="L92" s="81"/>
    </row>
    <row r="93" ht="15.75" customHeight="1">
      <c r="A93" s="76"/>
      <c r="C93" s="79"/>
      <c r="D93" s="79"/>
      <c r="H93" s="80"/>
      <c r="I93" s="80"/>
      <c r="K93" s="81"/>
      <c r="L93" s="81"/>
    </row>
    <row r="94" ht="15.75" customHeight="1">
      <c r="A94" s="76"/>
      <c r="C94" s="79"/>
      <c r="D94" s="79"/>
      <c r="H94" s="80"/>
      <c r="I94" s="80"/>
      <c r="K94" s="81"/>
      <c r="L94" s="81"/>
    </row>
    <row r="95" ht="15.75" customHeight="1">
      <c r="A95" s="76"/>
      <c r="C95" s="79"/>
      <c r="D95" s="79"/>
      <c r="H95" s="80"/>
      <c r="I95" s="80"/>
      <c r="K95" s="81"/>
      <c r="L95" s="81"/>
    </row>
    <row r="96" ht="15.75" customHeight="1">
      <c r="A96" s="2" t="s">
        <v>105</v>
      </c>
      <c r="C96" s="76" t="s">
        <v>112</v>
      </c>
      <c r="D96" s="79"/>
      <c r="H96" s="80"/>
      <c r="I96" s="80"/>
      <c r="K96" s="81"/>
      <c r="L96" s="81"/>
    </row>
    <row r="97" ht="15.75" customHeight="1">
      <c r="A97" s="57">
        <f>Metric!K8</f>
        <v>6.772931212</v>
      </c>
      <c r="B97" s="76" t="s">
        <v>30</v>
      </c>
      <c r="C97" s="79"/>
      <c r="D97" s="79"/>
      <c r="H97" s="80"/>
      <c r="I97" s="80"/>
      <c r="K97" s="81"/>
      <c r="L97" s="81"/>
    </row>
    <row r="98" ht="15.75" customHeight="1">
      <c r="A98">
        <f>A2</f>
        <v>10</v>
      </c>
      <c r="B98" s="76" t="s">
        <v>44</v>
      </c>
      <c r="D98" s="79"/>
      <c r="H98" s="80"/>
      <c r="I98" s="80"/>
      <c r="K98" s="81"/>
      <c r="L98" s="81"/>
    </row>
    <row r="99" ht="15.75" customHeight="1">
      <c r="A99" s="76">
        <f t="shared" ref="A99:A175" si="5">A4</f>
        <v>4</v>
      </c>
      <c r="C99">
        <f>C180*A4*100/Metric!$C$31</f>
        <v>187.8976183</v>
      </c>
      <c r="D99" s="79"/>
      <c r="H99" s="80"/>
      <c r="I99" s="80"/>
      <c r="K99" s="81"/>
      <c r="L99" s="81"/>
    </row>
    <row r="100" ht="15.75" customHeight="1">
      <c r="A100" s="76">
        <f t="shared" si="5"/>
        <v>4.5</v>
      </c>
      <c r="C100">
        <f>C181*A5*100/Metric!$C$31</f>
        <v>172.86566</v>
      </c>
      <c r="D100" s="79"/>
      <c r="H100" s="80"/>
      <c r="I100" s="80"/>
      <c r="K100" s="81"/>
      <c r="L100" s="81"/>
    </row>
    <row r="101" ht="15.75" customHeight="1">
      <c r="A101" s="76">
        <f t="shared" si="5"/>
        <v>5</v>
      </c>
      <c r="C101">
        <f>C182*A6*100/Metric!$C$31</f>
        <v>162.9188818</v>
      </c>
      <c r="D101" s="79"/>
      <c r="H101" s="80"/>
      <c r="I101" s="80"/>
      <c r="K101" s="81"/>
      <c r="L101" s="81"/>
    </row>
    <row r="102" ht="15.75" customHeight="1">
      <c r="A102" s="76">
        <f t="shared" si="5"/>
        <v>5.5</v>
      </c>
      <c r="C102">
        <f>C183*A7*100/Metric!$C$31</f>
        <v>157.1127943</v>
      </c>
      <c r="D102" s="79"/>
      <c r="H102" s="80"/>
      <c r="I102" s="80"/>
      <c r="K102" s="81"/>
      <c r="L102" s="81"/>
    </row>
    <row r="103" ht="15.75" customHeight="1">
      <c r="A103" s="76">
        <f t="shared" si="5"/>
        <v>6</v>
      </c>
      <c r="C103">
        <f>C184*A8*100/Metric!$C$31</f>
        <v>154.8604235</v>
      </c>
      <c r="D103" s="79"/>
      <c r="H103" s="80"/>
      <c r="I103" s="80"/>
      <c r="K103" s="81"/>
      <c r="L103" s="81"/>
    </row>
    <row r="104" ht="15.75" customHeight="1">
      <c r="A104" s="76">
        <f t="shared" si="5"/>
        <v>6.5</v>
      </c>
      <c r="C104">
        <f>C185*A9*100/Metric!$C$31</f>
        <v>155.7948051</v>
      </c>
      <c r="D104" s="79"/>
      <c r="H104" s="80"/>
      <c r="I104" s="80"/>
      <c r="K104" s="81"/>
      <c r="L104" s="81"/>
    </row>
    <row r="105" ht="15.75" customHeight="1">
      <c r="A105" s="76">
        <f t="shared" si="5"/>
        <v>7</v>
      </c>
      <c r="C105">
        <f>C186*A10*100/Metric!$C$31</f>
        <v>159.690409</v>
      </c>
      <c r="D105" s="79"/>
      <c r="H105" s="80"/>
      <c r="I105" s="80"/>
      <c r="K105" s="81"/>
      <c r="L105" s="81"/>
    </row>
    <row r="106" ht="15.75" customHeight="1">
      <c r="A106" s="76">
        <f t="shared" si="5"/>
        <v>7.5</v>
      </c>
      <c r="C106">
        <f>C187*A11*100/Metric!$C$31</f>
        <v>166.4159954</v>
      </c>
      <c r="D106" s="79"/>
      <c r="H106" s="80"/>
      <c r="I106" s="80"/>
      <c r="K106" s="81"/>
      <c r="L106" s="81"/>
    </row>
    <row r="107" ht="15.75" customHeight="1">
      <c r="A107" s="76">
        <f t="shared" si="5"/>
        <v>8</v>
      </c>
      <c r="C107">
        <f>C188*A12*100/Metric!$C$31</f>
        <v>175.9051482</v>
      </c>
      <c r="D107" s="79"/>
      <c r="H107" s="80"/>
      <c r="I107" s="80"/>
      <c r="K107" s="81"/>
      <c r="L107" s="81"/>
    </row>
    <row r="108" ht="15.75" customHeight="1">
      <c r="A108" s="76">
        <f t="shared" si="5"/>
        <v>8.5</v>
      </c>
      <c r="C108">
        <f>C189*A13*100/Metric!$C$31</f>
        <v>188.1372099</v>
      </c>
      <c r="D108" s="79"/>
      <c r="H108" s="80"/>
      <c r="I108" s="80"/>
      <c r="K108" s="81"/>
      <c r="L108" s="81"/>
    </row>
    <row r="109" ht="15.75" customHeight="1">
      <c r="A109" s="76">
        <f t="shared" si="5"/>
        <v>9</v>
      </c>
      <c r="C109">
        <f>C190*A14*100/Metric!$C$31</f>
        <v>203.1245706</v>
      </c>
      <c r="D109" s="79"/>
      <c r="H109" s="80"/>
      <c r="I109" s="80"/>
      <c r="K109" s="81"/>
      <c r="L109" s="81"/>
    </row>
    <row r="110" ht="15.75" customHeight="1">
      <c r="A110" s="76">
        <f t="shared" si="5"/>
        <v>9.5</v>
      </c>
      <c r="C110">
        <f>C191*A15*100/Metric!$C$31</f>
        <v>220.9039711</v>
      </c>
      <c r="D110" s="79"/>
      <c r="H110" s="80"/>
      <c r="I110" s="80"/>
      <c r="K110" s="81"/>
      <c r="L110" s="81"/>
    </row>
    <row r="111" ht="15.75" customHeight="1">
      <c r="A111" s="76">
        <f t="shared" si="5"/>
        <v>10</v>
      </c>
      <c r="C111">
        <f>C192*A16*100/Metric!$C$31</f>
        <v>241.5304156</v>
      </c>
      <c r="D111" s="79"/>
      <c r="H111" s="80"/>
      <c r="I111" s="80"/>
      <c r="K111" s="81"/>
      <c r="L111" s="81"/>
    </row>
    <row r="112" ht="15.75" customHeight="1">
      <c r="A112" s="76">
        <f t="shared" si="5"/>
        <v>10.5</v>
      </c>
      <c r="C112">
        <f>C193*A17*100/Metric!$C$31</f>
        <v>265.072823</v>
      </c>
      <c r="D112" s="79"/>
      <c r="H112" s="80"/>
      <c r="I112" s="80"/>
      <c r="K112" s="81"/>
      <c r="L112" s="81"/>
    </row>
    <row r="113" ht="15.75" customHeight="1">
      <c r="A113" s="76">
        <f t="shared" si="5"/>
        <v>11</v>
      </c>
      <c r="C113">
        <f>C194*A18*100/Metric!$C$31</f>
        <v>291.6108645</v>
      </c>
      <c r="D113" s="79"/>
      <c r="H113" s="80"/>
      <c r="I113" s="80"/>
      <c r="K113" s="81"/>
      <c r="L113" s="81"/>
    </row>
    <row r="114" ht="15.75" customHeight="1">
      <c r="A114" s="76">
        <f t="shared" si="5"/>
        <v>11.5</v>
      </c>
      <c r="C114">
        <f>C195*A19*100/Metric!$C$31</f>
        <v>321.2326262</v>
      </c>
      <c r="D114" s="79"/>
      <c r="H114" s="80"/>
      <c r="I114" s="80"/>
      <c r="K114" s="81"/>
      <c r="L114" s="81"/>
    </row>
    <row r="115" ht="15.75" customHeight="1">
      <c r="A115" s="76">
        <f t="shared" si="5"/>
        <v>12</v>
      </c>
      <c r="C115">
        <f>C196*A20*100/Metric!$C$31</f>
        <v>354.0328561</v>
      </c>
      <c r="D115" s="79"/>
      <c r="H115" s="80"/>
      <c r="I115" s="80"/>
      <c r="K115" s="81"/>
      <c r="L115" s="81"/>
    </row>
    <row r="116" ht="15.75" customHeight="1">
      <c r="A116" s="76">
        <f t="shared" si="5"/>
        <v>12.5</v>
      </c>
      <c r="C116">
        <f>C197*A21*100/Metric!$C$31</f>
        <v>390.1116314</v>
      </c>
      <c r="D116" s="79"/>
      <c r="H116" s="80"/>
      <c r="I116" s="80"/>
      <c r="K116" s="81"/>
      <c r="L116" s="81"/>
    </row>
    <row r="117" ht="15.75" customHeight="1">
      <c r="A117" s="76">
        <f t="shared" si="5"/>
        <v>13</v>
      </c>
      <c r="C117">
        <f>C198*A22*100/Metric!$C$31</f>
        <v>429.573334</v>
      </c>
      <c r="D117" s="79"/>
      <c r="H117" s="80"/>
      <c r="I117" s="80"/>
      <c r="K117" s="81"/>
      <c r="L117" s="81"/>
    </row>
    <row r="118" ht="15.75" customHeight="1">
      <c r="A118" s="76">
        <f t="shared" si="5"/>
        <v>13.5</v>
      </c>
      <c r="C118">
        <f>C199*A23*100/Metric!$C$31</f>
        <v>472.5258531</v>
      </c>
      <c r="D118" s="79"/>
      <c r="H118" s="80"/>
      <c r="I118" s="80"/>
      <c r="K118" s="81"/>
      <c r="L118" s="81"/>
    </row>
    <row r="119" ht="15.75" customHeight="1">
      <c r="A119" s="76">
        <f t="shared" si="5"/>
        <v>14</v>
      </c>
      <c r="C119">
        <f>C200*A24*100/Metric!$C$31</f>
        <v>519.0799591</v>
      </c>
      <c r="D119" s="79"/>
      <c r="H119" s="80"/>
      <c r="I119" s="80"/>
      <c r="K119" s="81"/>
      <c r="L119" s="81"/>
    </row>
    <row r="120" ht="15.75" customHeight="1">
      <c r="A120" s="76">
        <f t="shared" si="5"/>
        <v>14.5</v>
      </c>
      <c r="C120">
        <f>C201*A25*100/Metric!$C$31</f>
        <v>569.3488067</v>
      </c>
      <c r="D120" s="79"/>
      <c r="H120" s="80"/>
      <c r="I120" s="80"/>
      <c r="K120" s="81"/>
      <c r="L120" s="81"/>
    </row>
    <row r="121" ht="15.75" customHeight="1">
      <c r="A121" s="76">
        <f t="shared" si="5"/>
        <v>15</v>
      </c>
      <c r="C121">
        <f>C202*A26*100/Metric!$C$31</f>
        <v>623.4475373</v>
      </c>
      <c r="D121" s="79"/>
      <c r="H121" s="80"/>
      <c r="I121" s="80"/>
      <c r="K121" s="81"/>
      <c r="L121" s="81"/>
    </row>
    <row r="122" ht="15.75" customHeight="1">
      <c r="A122" s="76">
        <f t="shared" si="5"/>
        <v>15.5</v>
      </c>
      <c r="C122">
        <f>C203*A27*100/Metric!$C$31</f>
        <v>681.4929592</v>
      </c>
      <c r="D122" s="79"/>
      <c r="H122" s="80"/>
      <c r="I122" s="80"/>
      <c r="K122" s="81"/>
      <c r="L122" s="81"/>
    </row>
    <row r="123" ht="15.75" customHeight="1">
      <c r="A123" s="76">
        <f t="shared" si="5"/>
        <v>16</v>
      </c>
      <c r="C123">
        <f>C204*A28*100/Metric!$C$31</f>
        <v>743.6032865</v>
      </c>
      <c r="D123" s="79"/>
      <c r="H123" s="80"/>
      <c r="I123" s="80"/>
      <c r="K123" s="81"/>
      <c r="L123" s="81"/>
    </row>
    <row r="124" ht="15.75" customHeight="1">
      <c r="A124" s="76">
        <f t="shared" si="5"/>
        <v>16.5</v>
      </c>
      <c r="C124">
        <f>C205*A29*100/Metric!$C$31</f>
        <v>809.8979264</v>
      </c>
      <c r="D124" s="79"/>
      <c r="H124" s="80"/>
      <c r="I124" s="80"/>
      <c r="K124" s="81"/>
      <c r="L124" s="81"/>
    </row>
    <row r="125" ht="15.75" customHeight="1">
      <c r="A125" s="76">
        <f t="shared" si="5"/>
        <v>17</v>
      </c>
      <c r="C125">
        <f>C206*A30*100/Metric!$C$31</f>
        <v>880.4973037</v>
      </c>
      <c r="D125" s="79"/>
      <c r="H125" s="80"/>
      <c r="I125" s="80"/>
      <c r="K125" s="81"/>
      <c r="L125" s="81"/>
    </row>
    <row r="126" ht="15.75" customHeight="1">
      <c r="A126" s="76">
        <f t="shared" si="5"/>
        <v>17.5</v>
      </c>
      <c r="C126">
        <f>C207*A31*100/Metric!$C$31</f>
        <v>955.5227155</v>
      </c>
      <c r="D126" s="79"/>
      <c r="H126" s="80"/>
      <c r="I126" s="80"/>
      <c r="K126" s="81"/>
      <c r="L126" s="81"/>
    </row>
    <row r="127" ht="15.75" customHeight="1">
      <c r="A127" s="76">
        <f t="shared" si="5"/>
        <v>18</v>
      </c>
      <c r="C127">
        <f>C208*A32*100/Metric!$C$31</f>
        <v>1035.09621</v>
      </c>
      <c r="D127" s="79"/>
      <c r="H127" s="80"/>
      <c r="I127" s="80"/>
      <c r="K127" s="81"/>
      <c r="L127" s="81"/>
    </row>
    <row r="128" ht="15.75" customHeight="1">
      <c r="A128" s="76">
        <f t="shared" si="5"/>
        <v>18.5</v>
      </c>
      <c r="C128">
        <f>C209*A33*100/Metric!$C$31</f>
        <v>1119.340484</v>
      </c>
      <c r="D128" s="79"/>
      <c r="H128" s="80"/>
      <c r="I128" s="80"/>
      <c r="K128" s="81"/>
      <c r="L128" s="81"/>
    </row>
    <row r="129" ht="15.75" customHeight="1">
      <c r="A129" s="76">
        <f t="shared" si="5"/>
        <v>19</v>
      </c>
      <c r="C129">
        <f>C210*A34*100/Metric!$C$31</f>
        <v>1208.378801</v>
      </c>
      <c r="D129" s="79"/>
      <c r="H129" s="80"/>
      <c r="I129" s="80"/>
      <c r="K129" s="81"/>
      <c r="L129" s="81"/>
    </row>
    <row r="130" ht="15.75" customHeight="1">
      <c r="A130" s="76">
        <f t="shared" si="5"/>
        <v>19.5</v>
      </c>
      <c r="C130">
        <f>C211*A35*100/Metric!$C$31</f>
        <v>1302.334913</v>
      </c>
      <c r="D130" s="79"/>
      <c r="H130" s="80"/>
      <c r="I130" s="80"/>
      <c r="K130" s="81"/>
      <c r="L130" s="81"/>
    </row>
    <row r="131" ht="15.75" customHeight="1">
      <c r="A131" s="76">
        <f t="shared" si="5"/>
        <v>20</v>
      </c>
      <c r="C131">
        <f>C212*A36*100/Metric!$C$31</f>
        <v>1401.333005</v>
      </c>
      <c r="D131" s="79"/>
      <c r="H131" s="80"/>
      <c r="I131" s="80"/>
      <c r="K131" s="81"/>
      <c r="L131" s="81"/>
    </row>
    <row r="132" ht="15.75" customHeight="1">
      <c r="A132" s="76">
        <f t="shared" si="5"/>
        <v>20.5</v>
      </c>
      <c r="C132">
        <f>C213*A37*100/Metric!$C$31</f>
        <v>1505.497639</v>
      </c>
      <c r="D132" s="79"/>
      <c r="H132" s="80"/>
      <c r="I132" s="80"/>
      <c r="K132" s="81"/>
      <c r="L132" s="81"/>
    </row>
    <row r="133" ht="15.75" customHeight="1">
      <c r="A133" s="76">
        <f t="shared" si="5"/>
        <v>21</v>
      </c>
      <c r="C133">
        <f>C214*A38*100/Metric!$C$31</f>
        <v>1614.953708</v>
      </c>
      <c r="D133" s="79"/>
      <c r="H133" s="80"/>
      <c r="I133" s="80"/>
      <c r="K133" s="81"/>
      <c r="L133" s="81"/>
    </row>
    <row r="134" ht="15.75" customHeight="1">
      <c r="A134" s="76">
        <f t="shared" si="5"/>
        <v>21.5</v>
      </c>
      <c r="C134">
        <f>C215*A39*100/Metric!$C$31</f>
        <v>1729.826402</v>
      </c>
      <c r="D134" s="79"/>
      <c r="H134" s="80"/>
      <c r="I134" s="80"/>
      <c r="K134" s="81"/>
      <c r="L134" s="81"/>
    </row>
    <row r="135" ht="15.75" customHeight="1">
      <c r="A135" s="76">
        <f t="shared" si="5"/>
        <v>22</v>
      </c>
      <c r="C135">
        <f>C216*A40*100/Metric!$C$31</f>
        <v>1850.241171</v>
      </c>
      <c r="D135" s="79"/>
      <c r="H135" s="80"/>
      <c r="I135" s="80"/>
      <c r="K135" s="81"/>
      <c r="L135" s="81"/>
    </row>
    <row r="136" ht="15.75" customHeight="1">
      <c r="A136" s="76">
        <f t="shared" si="5"/>
        <v>22.5</v>
      </c>
      <c r="C136">
        <f>C217*A41*100/Metric!$C$31</f>
        <v>1976.323695</v>
      </c>
      <c r="D136" s="79"/>
      <c r="H136" s="80"/>
      <c r="I136" s="80"/>
      <c r="K136" s="81"/>
      <c r="L136" s="81"/>
    </row>
    <row r="137" ht="15.75" customHeight="1">
      <c r="A137" s="76">
        <f t="shared" si="5"/>
        <v>23</v>
      </c>
      <c r="C137">
        <f>C218*A42*100/Metric!$C$31</f>
        <v>2108.199862</v>
      </c>
      <c r="D137" s="79"/>
      <c r="H137" s="80"/>
      <c r="I137" s="80"/>
      <c r="K137" s="81"/>
      <c r="L137" s="81"/>
    </row>
    <row r="138" ht="15.75" customHeight="1">
      <c r="A138" s="76">
        <f t="shared" si="5"/>
        <v>23.5</v>
      </c>
      <c r="C138">
        <f>C219*A43*100/Metric!$C$31</f>
        <v>2245.995746</v>
      </c>
      <c r="D138" s="79"/>
      <c r="H138" s="80"/>
      <c r="I138" s="80"/>
      <c r="K138" s="81"/>
      <c r="L138" s="81"/>
    </row>
    <row r="139" ht="15.75" customHeight="1">
      <c r="A139" s="76">
        <f t="shared" si="5"/>
        <v>24</v>
      </c>
      <c r="C139">
        <f>C220*A44*100/Metric!$C$31</f>
        <v>2389.837582</v>
      </c>
      <c r="D139" s="79"/>
      <c r="H139" s="80"/>
      <c r="I139" s="80"/>
      <c r="K139" s="81"/>
      <c r="L139" s="81"/>
    </row>
    <row r="140" ht="15.75" customHeight="1">
      <c r="A140" s="76">
        <f t="shared" si="5"/>
        <v>24.5</v>
      </c>
      <c r="C140">
        <f>C221*A45*100/Metric!$C$31</f>
        <v>2539.851759</v>
      </c>
      <c r="D140" s="79"/>
      <c r="H140" s="80"/>
      <c r="I140" s="80"/>
      <c r="K140" s="81"/>
      <c r="L140" s="81"/>
    </row>
    <row r="141" ht="15.75" customHeight="1">
      <c r="A141" s="76">
        <f t="shared" si="5"/>
        <v>25</v>
      </c>
      <c r="C141">
        <f>C222*A46*100/Metric!$C$31</f>
        <v>2696.164796</v>
      </c>
      <c r="D141" s="79"/>
      <c r="H141" s="80"/>
      <c r="I141" s="80"/>
      <c r="K141" s="81"/>
      <c r="L141" s="81"/>
    </row>
    <row r="142" ht="15.75" customHeight="1">
      <c r="A142" s="76">
        <f t="shared" si="5"/>
        <v>25.5</v>
      </c>
      <c r="C142">
        <f>C223*A47*100/Metric!$C$31</f>
        <v>2858.903332</v>
      </c>
      <c r="D142" s="79"/>
      <c r="H142" s="80"/>
      <c r="I142" s="80"/>
      <c r="K142" s="81"/>
      <c r="L142" s="81"/>
    </row>
    <row r="143" ht="15.75" customHeight="1">
      <c r="A143" s="76">
        <f t="shared" si="5"/>
        <v>26</v>
      </c>
      <c r="C143">
        <f>C224*A48*100/Metric!$C$31</f>
        <v>3028.194118</v>
      </c>
      <c r="D143" s="79"/>
      <c r="H143" s="80"/>
      <c r="I143" s="80"/>
      <c r="K143" s="81"/>
      <c r="L143" s="81"/>
    </row>
    <row r="144" ht="15.75" customHeight="1">
      <c r="A144" s="76">
        <f t="shared" si="5"/>
        <v>26.5</v>
      </c>
      <c r="C144">
        <f>C225*A49*100/Metric!$C$31</f>
        <v>3204.164002</v>
      </c>
      <c r="D144" s="79"/>
      <c r="H144" s="80"/>
      <c r="I144" s="80"/>
      <c r="K144" s="81"/>
      <c r="L144" s="81"/>
    </row>
    <row r="145" ht="15.75" customHeight="1">
      <c r="A145" s="76">
        <f t="shared" si="5"/>
        <v>27</v>
      </c>
      <c r="C145">
        <f>C226*A50*100/Metric!$C$31</f>
        <v>3386.939922</v>
      </c>
      <c r="D145" s="79"/>
      <c r="H145" s="80"/>
      <c r="I145" s="80"/>
      <c r="K145" s="81"/>
      <c r="L145" s="81"/>
    </row>
    <row r="146" ht="15.75" customHeight="1">
      <c r="A146" s="76">
        <f t="shared" si="5"/>
        <v>27.5</v>
      </c>
      <c r="C146">
        <f>C227*A51*100/Metric!$C$31</f>
        <v>3576.648895</v>
      </c>
      <c r="D146" s="84"/>
    </row>
    <row r="147" ht="15.75" customHeight="1">
      <c r="A147" s="76">
        <f t="shared" si="5"/>
        <v>28</v>
      </c>
      <c r="C147">
        <f>C228*A52*100/Metric!$C$31</f>
        <v>3773.418016</v>
      </c>
      <c r="D147" s="84"/>
    </row>
    <row r="148" ht="15.75" customHeight="1">
      <c r="A148" s="76">
        <f t="shared" si="5"/>
        <v>28.5</v>
      </c>
      <c r="C148">
        <f>C229*A53*100/Metric!$C$31</f>
        <v>3977.374446</v>
      </c>
      <c r="D148" s="84"/>
    </row>
    <row r="149" ht="15.75" customHeight="1">
      <c r="A149" s="76">
        <f t="shared" si="5"/>
        <v>29</v>
      </c>
      <c r="C149">
        <f>C230*A54*100/Metric!$C$31</f>
        <v>4188.645406</v>
      </c>
      <c r="D149" s="84"/>
    </row>
    <row r="150" ht="15.75" customHeight="1">
      <c r="A150" s="76">
        <f t="shared" si="5"/>
        <v>29.5</v>
      </c>
      <c r="C150">
        <f>C231*A55*100/Metric!$C$31</f>
        <v>4407.358175</v>
      </c>
      <c r="D150" s="84"/>
    </row>
    <row r="151" ht="15.75" customHeight="1">
      <c r="A151" s="76">
        <f t="shared" si="5"/>
        <v>30</v>
      </c>
      <c r="C151">
        <f>C232*A56*100/Metric!$C$31</f>
        <v>4633.640086</v>
      </c>
      <c r="D151" s="84"/>
    </row>
    <row r="152" ht="15.75" customHeight="1">
      <c r="A152" s="76">
        <f t="shared" si="5"/>
        <v>30.5</v>
      </c>
      <c r="C152">
        <f>C233*A57*100/Metric!$C$31</f>
        <v>4867.618516</v>
      </c>
      <c r="D152" s="84"/>
    </row>
    <row r="153" ht="15.75" customHeight="1">
      <c r="A153" s="76">
        <f t="shared" si="5"/>
        <v>31</v>
      </c>
      <c r="C153">
        <f>C234*A58*100/Metric!$C$31</f>
        <v>5109.420887</v>
      </c>
      <c r="D153" s="84"/>
    </row>
    <row r="154" ht="15.75" customHeight="1">
      <c r="A154" s="76">
        <f t="shared" si="5"/>
        <v>31.5</v>
      </c>
      <c r="C154">
        <f>C235*A59*100/Metric!$C$31</f>
        <v>5359.174663</v>
      </c>
      <c r="D154" s="84"/>
    </row>
    <row r="155" ht="15.75" customHeight="1">
      <c r="A155" s="76">
        <f t="shared" si="5"/>
        <v>32</v>
      </c>
      <c r="C155">
        <f>C236*A60*100/Metric!$C$31</f>
        <v>5617.007343</v>
      </c>
      <c r="D155" s="84"/>
    </row>
    <row r="156" ht="15.75" customHeight="1">
      <c r="A156" s="76">
        <f t="shared" si="5"/>
        <v>32.5</v>
      </c>
      <c r="C156">
        <f>C237*A61*100/Metric!$C$31</f>
        <v>5883.04646</v>
      </c>
      <c r="D156" s="84"/>
    </row>
    <row r="157" ht="15.75" customHeight="1">
      <c r="A157" s="76">
        <f t="shared" si="5"/>
        <v>33</v>
      </c>
      <c r="C157">
        <f>C238*A62*100/Metric!$C$31</f>
        <v>6157.419581</v>
      </c>
      <c r="D157" s="84"/>
    </row>
    <row r="158" ht="15.75" customHeight="1">
      <c r="A158" s="76">
        <f t="shared" si="5"/>
        <v>33.5</v>
      </c>
      <c r="C158">
        <f>C239*A63*100/Metric!$C$31</f>
        <v>6440.254301</v>
      </c>
      <c r="D158" s="84"/>
    </row>
    <row r="159" ht="15.75" customHeight="1">
      <c r="A159" s="76">
        <f t="shared" si="5"/>
        <v>34</v>
      </c>
      <c r="C159">
        <f>C240*A64*100/Metric!$C$31</f>
        <v>6731.678242</v>
      </c>
      <c r="D159" s="84"/>
    </row>
    <row r="160" ht="15.75" customHeight="1">
      <c r="A160" s="76">
        <f t="shared" si="5"/>
        <v>34.5</v>
      </c>
      <c r="C160">
        <f>C241*A65*100/Metric!$C$31</f>
        <v>7031.819051</v>
      </c>
      <c r="D160" s="84"/>
    </row>
    <row r="161" ht="15.75" customHeight="1">
      <c r="A161" s="76">
        <f t="shared" si="5"/>
        <v>35</v>
      </c>
      <c r="C161">
        <f>C242*A66*100/Metric!$C$31</f>
        <v>7340.804398</v>
      </c>
      <c r="D161" s="84"/>
    </row>
    <row r="162" ht="15.75" customHeight="1">
      <c r="A162" s="76">
        <f t="shared" si="5"/>
        <v>35.5</v>
      </c>
      <c r="C162">
        <f>C243*A67*100/Metric!$C$31</f>
        <v>7658.761978</v>
      </c>
      <c r="D162" s="84"/>
    </row>
    <row r="163" ht="15.75" customHeight="1">
      <c r="A163" s="76">
        <f t="shared" si="5"/>
        <v>36</v>
      </c>
      <c r="C163">
        <f>C244*A68*100/Metric!$C$31</f>
        <v>7985.819501</v>
      </c>
      <c r="D163" s="84"/>
    </row>
    <row r="164" ht="15.75" customHeight="1">
      <c r="A164" s="76">
        <f t="shared" si="5"/>
        <v>36.5</v>
      </c>
      <c r="C164">
        <f>C245*A69*100/Metric!$C$31</f>
        <v>8322.1047</v>
      </c>
      <c r="D164" s="84"/>
    </row>
    <row r="165" ht="15.75" customHeight="1">
      <c r="A165" s="76">
        <f t="shared" si="5"/>
        <v>37</v>
      </c>
      <c r="C165">
        <f>C246*A70*100/Metric!$C$31</f>
        <v>8667.745324</v>
      </c>
      <c r="D165" s="84"/>
    </row>
    <row r="166" ht="15.75" customHeight="1">
      <c r="A166" s="76">
        <f t="shared" si="5"/>
        <v>37.5</v>
      </c>
      <c r="C166">
        <f>C247*A71*100/Metric!$C$31</f>
        <v>9022.869139</v>
      </c>
      <c r="D166" s="84"/>
    </row>
    <row r="167" ht="15.75" customHeight="1">
      <c r="A167" s="76">
        <f t="shared" si="5"/>
        <v>38</v>
      </c>
      <c r="C167">
        <f>C248*A72*100/Metric!$C$31</f>
        <v>9387.603925</v>
      </c>
      <c r="D167" s="84"/>
    </row>
    <row r="168" ht="15.75" customHeight="1">
      <c r="A168" s="76">
        <f t="shared" si="5"/>
        <v>38.5</v>
      </c>
      <c r="C168">
        <f>C249*A73*100/Metric!$C$31</f>
        <v>9762.077478</v>
      </c>
      <c r="D168" s="84"/>
    </row>
    <row r="169" ht="15.75" customHeight="1">
      <c r="A169" s="76">
        <f t="shared" si="5"/>
        <v>39</v>
      </c>
      <c r="C169">
        <f>C250*A74*100/Metric!$C$31</f>
        <v>10146.41761</v>
      </c>
      <c r="D169" s="84"/>
    </row>
    <row r="170" ht="15.75" customHeight="1">
      <c r="A170" s="76">
        <f t="shared" si="5"/>
        <v>39.5</v>
      </c>
      <c r="C170">
        <f>C251*A75*100/Metric!$C$31</f>
        <v>10540.75213</v>
      </c>
      <c r="D170" s="84"/>
    </row>
    <row r="171" ht="15.75" customHeight="1">
      <c r="A171" s="76">
        <f t="shared" si="5"/>
        <v>40</v>
      </c>
      <c r="C171">
        <f>C252*A76*100/Metric!$C$31</f>
        <v>10945.20888</v>
      </c>
      <c r="D171" s="84"/>
    </row>
    <row r="172" ht="15.75" customHeight="1">
      <c r="A172" s="76">
        <f t="shared" si="5"/>
        <v>40.5</v>
      </c>
      <c r="C172">
        <f>C253*A77*100/Metric!$C$31</f>
        <v>11359.91571</v>
      </c>
      <c r="D172" s="84"/>
    </row>
    <row r="173" ht="15.75" customHeight="1">
      <c r="A173" s="76">
        <f t="shared" si="5"/>
        <v>41</v>
      </c>
      <c r="C173">
        <f>C254*A78*100/Metric!$C$31</f>
        <v>11785.00047</v>
      </c>
      <c r="D173" s="84"/>
    </row>
    <row r="174" ht="15.75" customHeight="1">
      <c r="A174" s="76">
        <f t="shared" si="5"/>
        <v>41.5</v>
      </c>
      <c r="C174">
        <f>C255*A79*100/Metric!$C$31</f>
        <v>12220.59102</v>
      </c>
      <c r="D174" s="84"/>
    </row>
    <row r="175" ht="15.75" customHeight="1">
      <c r="A175" s="76">
        <f t="shared" si="5"/>
        <v>42</v>
      </c>
      <c r="C175">
        <f>C256*A80*100/Metric!$C$31</f>
        <v>12666.81523</v>
      </c>
      <c r="D175" s="84"/>
    </row>
    <row r="176" ht="15.75" customHeight="1">
      <c r="D176" s="84"/>
    </row>
    <row r="177" ht="15.75" customHeight="1">
      <c r="A177" s="2" t="s">
        <v>105</v>
      </c>
      <c r="C177" s="76" t="s">
        <v>108</v>
      </c>
      <c r="D177" s="84"/>
    </row>
    <row r="178" ht="15.75" customHeight="1">
      <c r="A178" s="57">
        <f>Metric!K7</f>
        <v>8.91367876</v>
      </c>
      <c r="B178" s="76" t="s">
        <v>24</v>
      </c>
      <c r="D178" s="84"/>
    </row>
    <row r="179" ht="15.75" customHeight="1">
      <c r="A179">
        <f t="shared" ref="A179:A256" si="6">A98</f>
        <v>10</v>
      </c>
      <c r="B179" s="76" t="s">
        <v>113</v>
      </c>
      <c r="D179" s="84"/>
    </row>
    <row r="180" ht="15.75" customHeight="1">
      <c r="A180">
        <f t="shared" si="6"/>
        <v>4</v>
      </c>
      <c r="C180">
        <f>H4*0.5*Metric!$C$19*A4^2*Metric!$G$9</f>
        <v>18.78976183</v>
      </c>
      <c r="D180" s="84"/>
    </row>
    <row r="181" ht="15.75" customHeight="1">
      <c r="A181">
        <f t="shared" si="6"/>
        <v>4.5</v>
      </c>
      <c r="C181">
        <f>H5*0.5*Metric!$C$19*A5^2*Metric!$G$9</f>
        <v>15.36583644</v>
      </c>
      <c r="D181" s="84"/>
    </row>
    <row r="182" ht="15.75" customHeight="1">
      <c r="A182">
        <f t="shared" si="6"/>
        <v>5</v>
      </c>
      <c r="C182">
        <f>H6*0.5*Metric!$C$19*A6^2*Metric!$G$9</f>
        <v>13.03351054</v>
      </c>
      <c r="D182" s="84"/>
    </row>
    <row r="183" ht="15.75" customHeight="1">
      <c r="A183">
        <f t="shared" si="6"/>
        <v>5.5</v>
      </c>
      <c r="C183">
        <f>H7*0.5*Metric!$C$19*A7^2*Metric!$G$9</f>
        <v>11.42638504</v>
      </c>
      <c r="D183" s="84"/>
    </row>
    <row r="184" ht="15.75" customHeight="1">
      <c r="A184">
        <f t="shared" si="6"/>
        <v>6</v>
      </c>
      <c r="C184">
        <f>H8*0.5*Metric!$C$19*A8^2*Metric!$G$9</f>
        <v>10.32402823</v>
      </c>
      <c r="D184" s="84"/>
    </row>
    <row r="185" ht="15.75" customHeight="1">
      <c r="A185">
        <f t="shared" si="6"/>
        <v>6.5</v>
      </c>
      <c r="C185">
        <f>H9*0.5*Metric!$C$19*A9^2*Metric!$G$9</f>
        <v>9.587372619</v>
      </c>
      <c r="D185" s="84"/>
    </row>
    <row r="186" ht="15.75" customHeight="1">
      <c r="A186">
        <f t="shared" si="6"/>
        <v>7</v>
      </c>
      <c r="C186">
        <f>H10*0.5*Metric!$C$19*A10^2*Metric!$G$9</f>
        <v>9.125166231</v>
      </c>
      <c r="D186" s="84"/>
    </row>
    <row r="187" ht="15.75" customHeight="1">
      <c r="A187">
        <f t="shared" si="6"/>
        <v>7.5</v>
      </c>
      <c r="C187">
        <f>H11*0.5*Metric!$C$19*A11^2*Metric!$G$9</f>
        <v>8.875519753</v>
      </c>
      <c r="D187" s="84"/>
    </row>
    <row r="188" ht="15.75" customHeight="1">
      <c r="A188">
        <f t="shared" si="6"/>
        <v>8</v>
      </c>
      <c r="C188">
        <f>H12*0.5*Metric!$C$19*A12^2*Metric!$G$9</f>
        <v>8.79525741</v>
      </c>
      <c r="D188" s="84"/>
    </row>
    <row r="189" ht="15.75" customHeight="1">
      <c r="A189">
        <f t="shared" si="6"/>
        <v>8.5</v>
      </c>
      <c r="C189">
        <f>H13*0.5*Metric!$C$19*A13^2*Metric!$G$9</f>
        <v>8.853515761</v>
      </c>
      <c r="D189" s="84"/>
    </row>
    <row r="190" ht="15.75" customHeight="1">
      <c r="A190">
        <f t="shared" si="6"/>
        <v>9</v>
      </c>
      <c r="C190">
        <f>H14*0.5*Metric!$C$19*A14^2*Metric!$G$9</f>
        <v>9.027758692</v>
      </c>
      <c r="D190" s="84"/>
    </row>
    <row r="191" ht="15.75" customHeight="1">
      <c r="A191">
        <f t="shared" si="6"/>
        <v>9.5</v>
      </c>
      <c r="C191">
        <f>H15*0.5*Metric!$C$19*A15^2*Metric!$G$9</f>
        <v>9.301219835</v>
      </c>
      <c r="D191" s="84"/>
    </row>
    <row r="192" ht="15.75" customHeight="1">
      <c r="A192">
        <f t="shared" si="6"/>
        <v>10</v>
      </c>
      <c r="C192">
        <f>H16*0.5*Metric!$C$19*A16^2*Metric!$G$9</f>
        <v>9.661216624</v>
      </c>
      <c r="D192" s="84"/>
    </row>
    <row r="193" ht="15.75" customHeight="1">
      <c r="A193">
        <f t="shared" si="6"/>
        <v>10.5</v>
      </c>
      <c r="C193">
        <f>H17*0.5*Metric!$C$19*A17^2*Metric!$G$9</f>
        <v>10.0980123</v>
      </c>
      <c r="D193" s="84"/>
    </row>
    <row r="194" ht="15.75" customHeight="1">
      <c r="A194">
        <f t="shared" si="6"/>
        <v>11</v>
      </c>
      <c r="C194">
        <f>H18*0.5*Metric!$C$19*A18^2*Metric!$G$9</f>
        <v>10.60403144</v>
      </c>
      <c r="D194" s="84"/>
    </row>
    <row r="195" ht="15.75" customHeight="1">
      <c r="A195">
        <f t="shared" si="6"/>
        <v>11.5</v>
      </c>
      <c r="C195">
        <f>H19*0.5*Metric!$C$19*A19^2*Metric!$G$9</f>
        <v>11.17330874</v>
      </c>
      <c r="D195" s="84"/>
    </row>
    <row r="196" ht="15.75" customHeight="1">
      <c r="A196">
        <f t="shared" si="6"/>
        <v>12</v>
      </c>
      <c r="C196">
        <f>H20*0.5*Metric!$C$19*A20^2*Metric!$G$9</f>
        <v>11.8010952</v>
      </c>
      <c r="D196" s="84"/>
    </row>
    <row r="197" ht="15.75" customHeight="1">
      <c r="A197">
        <f t="shared" si="6"/>
        <v>12.5</v>
      </c>
      <c r="C197">
        <f>H21*0.5*Metric!$C$19*A21^2*Metric!$G$9</f>
        <v>12.4835722</v>
      </c>
      <c r="D197" s="84"/>
    </row>
    <row r="198" ht="15.75" customHeight="1">
      <c r="A198">
        <f t="shared" si="6"/>
        <v>13</v>
      </c>
      <c r="C198">
        <f>H22*0.5*Metric!$C$19*A22^2*Metric!$G$9</f>
        <v>13.21764105</v>
      </c>
      <c r="D198" s="84"/>
    </row>
    <row r="199" ht="15.75" customHeight="1">
      <c r="A199">
        <f t="shared" si="6"/>
        <v>13.5</v>
      </c>
      <c r="C199">
        <f>H23*0.5*Metric!$C$19*A23^2*Metric!$G$9</f>
        <v>14.00076602</v>
      </c>
      <c r="D199" s="84"/>
    </row>
    <row r="200" ht="15.75" customHeight="1">
      <c r="A200">
        <f t="shared" si="6"/>
        <v>14</v>
      </c>
      <c r="C200">
        <f>H24*0.5*Metric!$C$19*A24^2*Metric!$G$9</f>
        <v>14.83085598</v>
      </c>
      <c r="D200" s="84"/>
    </row>
    <row r="201" ht="15.75" customHeight="1">
      <c r="A201">
        <f t="shared" si="6"/>
        <v>14.5</v>
      </c>
      <c r="C201">
        <f>H25*0.5*Metric!$C$19*A25^2*Metric!$G$9</f>
        <v>15.70617398</v>
      </c>
      <c r="D201" s="84"/>
    </row>
    <row r="202" ht="15.75" customHeight="1">
      <c r="A202">
        <f t="shared" si="6"/>
        <v>15</v>
      </c>
      <c r="C202">
        <f>H26*0.5*Metric!$C$19*A26^2*Metric!$G$9</f>
        <v>16.62526766</v>
      </c>
      <c r="D202" s="84"/>
    </row>
    <row r="203" ht="15.75" customHeight="1">
      <c r="A203">
        <f t="shared" si="6"/>
        <v>15.5</v>
      </c>
      <c r="C203">
        <f>H27*0.5*Metric!$C$19*A27^2*Metric!$G$9</f>
        <v>17.58691508</v>
      </c>
      <c r="D203" s="84"/>
    </row>
    <row r="204" ht="15.75" customHeight="1">
      <c r="A204">
        <f t="shared" si="6"/>
        <v>16</v>
      </c>
      <c r="C204">
        <f>H28*0.5*Metric!$C$19*A28^2*Metric!$G$9</f>
        <v>18.59008216</v>
      </c>
      <c r="D204" s="84"/>
    </row>
    <row r="205" ht="15.75" customHeight="1">
      <c r="A205">
        <f t="shared" si="6"/>
        <v>16.5</v>
      </c>
      <c r="C205">
        <f>H29*0.5*Metric!$C$19*A29^2*Metric!$G$9</f>
        <v>19.63388912</v>
      </c>
      <c r="D205" s="84"/>
    </row>
    <row r="206" ht="15.75" customHeight="1">
      <c r="A206">
        <f t="shared" si="6"/>
        <v>17</v>
      </c>
      <c r="C206">
        <f>H30*0.5*Metric!$C$19*A30^2*Metric!$G$9</f>
        <v>20.71758362</v>
      </c>
      <c r="D206" s="84"/>
    </row>
    <row r="207" ht="15.75" customHeight="1">
      <c r="A207">
        <f t="shared" si="6"/>
        <v>17.5</v>
      </c>
      <c r="C207">
        <f>H31*0.5*Metric!$C$19*A31^2*Metric!$G$9</f>
        <v>21.84051921</v>
      </c>
      <c r="D207" s="84"/>
    </row>
    <row r="208" ht="15.75" customHeight="1">
      <c r="A208">
        <f t="shared" si="6"/>
        <v>18</v>
      </c>
      <c r="C208">
        <f>H32*0.5*Metric!$C$19*A32^2*Metric!$G$9</f>
        <v>23.002138</v>
      </c>
      <c r="D208" s="84"/>
    </row>
    <row r="209" ht="15.75" customHeight="1">
      <c r="A209">
        <f t="shared" si="6"/>
        <v>18.5</v>
      </c>
      <c r="C209">
        <f>H33*0.5*Metric!$C$19*A33^2*Metric!$G$9</f>
        <v>24.20195642</v>
      </c>
      <c r="D209" s="84"/>
    </row>
    <row r="210" ht="15.75" customHeight="1">
      <c r="A210">
        <f t="shared" si="6"/>
        <v>19</v>
      </c>
      <c r="C210">
        <f>H34*0.5*Metric!$C$19*A34^2*Metric!$G$9</f>
        <v>25.43955371</v>
      </c>
      <c r="D210" s="84"/>
    </row>
    <row r="211" ht="15.75" customHeight="1">
      <c r="A211">
        <f t="shared" si="6"/>
        <v>19.5</v>
      </c>
      <c r="C211">
        <f>H35*0.5*Metric!$C$19*A35^2*Metric!$G$9</f>
        <v>26.71456233</v>
      </c>
      <c r="D211" s="84"/>
    </row>
    <row r="212" ht="15.75" customHeight="1">
      <c r="A212">
        <f t="shared" si="6"/>
        <v>20</v>
      </c>
      <c r="C212">
        <f>H36*0.5*Metric!$C$19*A36^2*Metric!$G$9</f>
        <v>28.02666011</v>
      </c>
      <c r="D212" s="84"/>
    </row>
    <row r="213" ht="15.75" customHeight="1">
      <c r="A213">
        <f t="shared" si="6"/>
        <v>20.5</v>
      </c>
      <c r="C213">
        <f>H37*0.5*Metric!$C$19*A37^2*Metric!$G$9</f>
        <v>29.37556369</v>
      </c>
      <c r="D213" s="84"/>
    </row>
    <row r="214" ht="15.75" customHeight="1">
      <c r="A214">
        <f t="shared" si="6"/>
        <v>21</v>
      </c>
      <c r="C214">
        <f>H38*0.5*Metric!$C$19*A38^2*Metric!$G$9</f>
        <v>30.76102301</v>
      </c>
      <c r="D214" s="84"/>
    </row>
    <row r="215" ht="15.75" customHeight="1">
      <c r="A215">
        <f t="shared" si="6"/>
        <v>21.5</v>
      </c>
      <c r="C215">
        <f>H39*0.5*Metric!$C$19*A39^2*Metric!$G$9</f>
        <v>32.18281679</v>
      </c>
      <c r="D215" s="84"/>
    </row>
    <row r="216" ht="15.75" customHeight="1">
      <c r="A216">
        <f t="shared" si="6"/>
        <v>22</v>
      </c>
      <c r="C216">
        <f>H40*0.5*Metric!$C$19*A40^2*Metric!$G$9</f>
        <v>33.64074856</v>
      </c>
      <c r="D216" s="84"/>
    </row>
    <row r="217" ht="15.75" customHeight="1">
      <c r="A217">
        <f t="shared" si="6"/>
        <v>22.5</v>
      </c>
      <c r="C217">
        <f>H41*0.5*Metric!$C$19*A41^2*Metric!$G$9</f>
        <v>35.13464347</v>
      </c>
      <c r="D217" s="84"/>
    </row>
    <row r="218" ht="15.75" customHeight="1">
      <c r="A218">
        <f t="shared" si="6"/>
        <v>23</v>
      </c>
      <c r="C218">
        <f>H42*0.5*Metric!$C$19*A42^2*Metric!$G$9</f>
        <v>36.66434543</v>
      </c>
      <c r="D218" s="84"/>
    </row>
    <row r="219" ht="15.75" customHeight="1">
      <c r="A219">
        <f t="shared" si="6"/>
        <v>23.5</v>
      </c>
      <c r="C219">
        <f>H43*0.5*Metric!$C$19*A43^2*Metric!$G$9</f>
        <v>38.22971482</v>
      </c>
      <c r="D219" s="84"/>
    </row>
    <row r="220" ht="15.75" customHeight="1">
      <c r="A220">
        <f t="shared" si="6"/>
        <v>24</v>
      </c>
      <c r="C220">
        <f>H44*0.5*Metric!$C$19*A44^2*Metric!$G$9</f>
        <v>39.83062637</v>
      </c>
      <c r="D220" s="84"/>
    </row>
    <row r="221" ht="15.75" customHeight="1">
      <c r="A221">
        <f t="shared" si="6"/>
        <v>24.5</v>
      </c>
      <c r="C221">
        <f>H45*0.5*Metric!$C$19*A45^2*Metric!$G$9</f>
        <v>41.4669675</v>
      </c>
      <c r="D221" s="84"/>
    </row>
    <row r="222" ht="15.75" customHeight="1">
      <c r="A222">
        <f t="shared" si="6"/>
        <v>25</v>
      </c>
      <c r="C222">
        <f>H46*0.5*Metric!$C$19*A46^2*Metric!$G$9</f>
        <v>43.13863673</v>
      </c>
      <c r="D222" s="84"/>
    </row>
    <row r="223" ht="15.75" customHeight="1">
      <c r="A223">
        <f t="shared" si="6"/>
        <v>25.5</v>
      </c>
      <c r="C223">
        <f>H47*0.5*Metric!$C$19*A47^2*Metric!$G$9</f>
        <v>44.84554247</v>
      </c>
      <c r="D223" s="84"/>
    </row>
    <row r="224" ht="15.75" customHeight="1">
      <c r="A224">
        <f t="shared" si="6"/>
        <v>26</v>
      </c>
      <c r="C224">
        <f>H48*0.5*Metric!$C$19*A48^2*Metric!$G$9</f>
        <v>46.58760182</v>
      </c>
      <c r="D224" s="84"/>
    </row>
    <row r="225" ht="15.75" customHeight="1">
      <c r="A225">
        <f t="shared" si="6"/>
        <v>26.5</v>
      </c>
      <c r="C225">
        <f>H49*0.5*Metric!$C$19*A49^2*Metric!$G$9</f>
        <v>48.36473966</v>
      </c>
      <c r="D225" s="84"/>
    </row>
    <row r="226" ht="15.75" customHeight="1">
      <c r="A226">
        <f t="shared" si="6"/>
        <v>27</v>
      </c>
      <c r="C226">
        <f>H50*0.5*Metric!$C$19*A50^2*Metric!$G$9</f>
        <v>50.17688773</v>
      </c>
      <c r="D226" s="84"/>
    </row>
    <row r="227" ht="15.75" customHeight="1">
      <c r="A227">
        <f t="shared" si="6"/>
        <v>27.5</v>
      </c>
      <c r="C227">
        <f>H51*0.5*Metric!$C$19*A51^2*Metric!$G$9</f>
        <v>52.02398393</v>
      </c>
      <c r="D227" s="84"/>
    </row>
    <row r="228" ht="15.75" customHeight="1">
      <c r="A228">
        <f t="shared" si="6"/>
        <v>28</v>
      </c>
      <c r="C228">
        <f>H52*0.5*Metric!$C$19*A52^2*Metric!$G$9</f>
        <v>53.90597166</v>
      </c>
      <c r="D228" s="84"/>
    </row>
    <row r="229" ht="15.75" customHeight="1">
      <c r="A229">
        <f t="shared" si="6"/>
        <v>28.5</v>
      </c>
      <c r="C229">
        <f>H53*0.5*Metric!$C$19*A53^2*Metric!$G$9</f>
        <v>55.82279924</v>
      </c>
      <c r="D229" s="84"/>
    </row>
    <row r="230" ht="15.75" customHeight="1">
      <c r="A230">
        <f t="shared" si="6"/>
        <v>29</v>
      </c>
      <c r="C230">
        <f>H54*0.5*Metric!$C$19*A54^2*Metric!$G$9</f>
        <v>57.77441939</v>
      </c>
      <c r="D230" s="84"/>
    </row>
    <row r="231" ht="15.75" customHeight="1">
      <c r="A231">
        <f t="shared" si="6"/>
        <v>29.5</v>
      </c>
      <c r="C231">
        <f>H55*0.5*Metric!$C$19*A55^2*Metric!$G$9</f>
        <v>59.76078882</v>
      </c>
      <c r="D231" s="84"/>
    </row>
    <row r="232" ht="15.75" customHeight="1">
      <c r="A232">
        <f t="shared" si="6"/>
        <v>30</v>
      </c>
      <c r="C232">
        <f>H56*0.5*Metric!$C$19*A56^2*Metric!$G$9</f>
        <v>61.78186781</v>
      </c>
      <c r="D232" s="84"/>
    </row>
    <row r="233" ht="15.75" customHeight="1">
      <c r="A233">
        <f t="shared" si="6"/>
        <v>30.5</v>
      </c>
      <c r="C233">
        <f>H57*0.5*Metric!$C$19*A57^2*Metric!$G$9</f>
        <v>63.83761988</v>
      </c>
      <c r="D233" s="84"/>
    </row>
    <row r="234" ht="15.75" customHeight="1">
      <c r="A234">
        <f t="shared" si="6"/>
        <v>31</v>
      </c>
      <c r="C234">
        <f>H58*0.5*Metric!$C$19*A58^2*Metric!$G$9</f>
        <v>65.92801145</v>
      </c>
      <c r="D234" s="84"/>
    </row>
    <row r="235" ht="15.75" customHeight="1">
      <c r="A235">
        <f t="shared" si="6"/>
        <v>31.5</v>
      </c>
      <c r="C235">
        <f>H59*0.5*Metric!$C$19*A59^2*Metric!$G$9</f>
        <v>68.05301159</v>
      </c>
      <c r="D235" s="84"/>
    </row>
    <row r="236" ht="15.75" customHeight="1">
      <c r="A236">
        <f t="shared" si="6"/>
        <v>32</v>
      </c>
      <c r="C236">
        <f>H60*0.5*Metric!$C$19*A60^2*Metric!$G$9</f>
        <v>70.21259178</v>
      </c>
      <c r="D236" s="84"/>
    </row>
    <row r="237" ht="15.75" customHeight="1">
      <c r="A237">
        <f t="shared" si="6"/>
        <v>32.5</v>
      </c>
      <c r="C237">
        <f>H61*0.5*Metric!$C$19*A61^2*Metric!$G$9</f>
        <v>72.40672566</v>
      </c>
      <c r="D237" s="84"/>
    </row>
    <row r="238" ht="15.75" customHeight="1">
      <c r="A238">
        <f t="shared" si="6"/>
        <v>33</v>
      </c>
      <c r="C238">
        <f>H62*0.5*Metric!$C$19*A62^2*Metric!$G$9</f>
        <v>74.63538887</v>
      </c>
      <c r="D238" s="84"/>
    </row>
    <row r="239" ht="15.75" customHeight="1">
      <c r="A239">
        <f t="shared" si="6"/>
        <v>33.5</v>
      </c>
      <c r="C239">
        <f>H63*0.5*Metric!$C$19*A63^2*Metric!$G$9</f>
        <v>76.89855882</v>
      </c>
      <c r="D239" s="84"/>
    </row>
    <row r="240" ht="15.75" customHeight="1">
      <c r="A240">
        <f t="shared" si="6"/>
        <v>34</v>
      </c>
      <c r="C240">
        <f>H64*0.5*Metric!$C$19*A64^2*Metric!$G$9</f>
        <v>79.19621461</v>
      </c>
      <c r="D240" s="84"/>
    </row>
    <row r="241" ht="15.75" customHeight="1">
      <c r="A241">
        <f t="shared" si="6"/>
        <v>34.5</v>
      </c>
      <c r="C241">
        <f>H65*0.5*Metric!$C$19*A65^2*Metric!$G$9</f>
        <v>81.52833682</v>
      </c>
      <c r="D241" s="84"/>
    </row>
    <row r="242" ht="15.75" customHeight="1">
      <c r="A242">
        <f t="shared" si="6"/>
        <v>35</v>
      </c>
      <c r="C242">
        <f>H66*0.5*Metric!$C$19*A66^2*Metric!$G$9</f>
        <v>83.89490741</v>
      </c>
      <c r="D242" s="84"/>
    </row>
    <row r="243" ht="15.75" customHeight="1">
      <c r="A243">
        <f t="shared" si="6"/>
        <v>35.5</v>
      </c>
      <c r="C243">
        <f>H67*0.5*Metric!$C$19*A67^2*Metric!$G$9</f>
        <v>86.29590961</v>
      </c>
      <c r="D243" s="84"/>
    </row>
    <row r="244" ht="15.75" customHeight="1">
      <c r="A244">
        <f t="shared" si="6"/>
        <v>36</v>
      </c>
      <c r="C244">
        <f>H68*0.5*Metric!$C$19*A68^2*Metric!$G$9</f>
        <v>88.73132779</v>
      </c>
      <c r="D244" s="84"/>
    </row>
    <row r="245" ht="15.75" customHeight="1">
      <c r="A245">
        <f t="shared" si="6"/>
        <v>36.5</v>
      </c>
      <c r="C245">
        <f>H69*0.5*Metric!$C$19*A69^2*Metric!$G$9</f>
        <v>91.2011474</v>
      </c>
      <c r="D245" s="84"/>
    </row>
    <row r="246" ht="15.75" customHeight="1">
      <c r="A246">
        <f t="shared" si="6"/>
        <v>37</v>
      </c>
      <c r="C246">
        <f>H70*0.5*Metric!$C$19*A70^2*Metric!$G$9</f>
        <v>93.70535486</v>
      </c>
      <c r="D246" s="84"/>
    </row>
    <row r="247" ht="15.75" customHeight="1">
      <c r="A247">
        <f t="shared" si="6"/>
        <v>37.5</v>
      </c>
      <c r="C247">
        <f>H71*0.5*Metric!$C$19*A71^2*Metric!$G$9</f>
        <v>96.24393748</v>
      </c>
      <c r="D247" s="84"/>
    </row>
    <row r="248" ht="15.75" customHeight="1">
      <c r="A248">
        <f t="shared" si="6"/>
        <v>38</v>
      </c>
      <c r="C248">
        <f>H72*0.5*Metric!$C$19*A72^2*Metric!$G$9</f>
        <v>98.81688342</v>
      </c>
      <c r="D248" s="84"/>
    </row>
    <row r="249" ht="15.75" customHeight="1">
      <c r="A249">
        <f t="shared" si="6"/>
        <v>38.5</v>
      </c>
      <c r="C249">
        <f>H73*0.5*Metric!$C$19*A73^2*Metric!$G$9</f>
        <v>101.4241816</v>
      </c>
      <c r="D249" s="84"/>
    </row>
    <row r="250" ht="15.75" customHeight="1">
      <c r="A250">
        <f t="shared" si="6"/>
        <v>39</v>
      </c>
      <c r="C250">
        <f>H74*0.5*Metric!$C$19*A74^2*Metric!$G$9</f>
        <v>104.0658216</v>
      </c>
      <c r="D250" s="84"/>
    </row>
    <row r="251" ht="15.75" customHeight="1">
      <c r="A251">
        <f t="shared" si="6"/>
        <v>39.5</v>
      </c>
      <c r="C251">
        <f>H75*0.5*Metric!$C$19*A75^2*Metric!$G$9</f>
        <v>106.7417937</v>
      </c>
      <c r="D251" s="84"/>
    </row>
    <row r="252" ht="15.75" customHeight="1">
      <c r="A252">
        <f t="shared" si="6"/>
        <v>40</v>
      </c>
      <c r="C252">
        <f>H76*0.5*Metric!$C$19*A76^2*Metric!$G$9</f>
        <v>109.4520888</v>
      </c>
      <c r="D252" s="84"/>
    </row>
    <row r="253" ht="15.75" customHeight="1">
      <c r="A253">
        <f t="shared" si="6"/>
        <v>40.5</v>
      </c>
      <c r="C253">
        <f>H77*0.5*Metric!$C$19*A77^2*Metric!$G$9</f>
        <v>112.1966984</v>
      </c>
      <c r="D253" s="84"/>
    </row>
    <row r="254" ht="15.75" customHeight="1">
      <c r="A254">
        <f t="shared" si="6"/>
        <v>41</v>
      </c>
      <c r="C254">
        <f>H78*0.5*Metric!$C$19*A78^2*Metric!$G$9</f>
        <v>114.9756143</v>
      </c>
      <c r="D254" s="84"/>
    </row>
    <row r="255" ht="15.75" customHeight="1">
      <c r="A255">
        <f t="shared" si="6"/>
        <v>41.5</v>
      </c>
      <c r="C255">
        <f>H79*0.5*Metric!$C$19*A79^2*Metric!$G$9</f>
        <v>117.7888291</v>
      </c>
      <c r="D255" s="84"/>
    </row>
    <row r="256" ht="15.75" customHeight="1">
      <c r="A256">
        <f t="shared" si="6"/>
        <v>42</v>
      </c>
      <c r="C256">
        <f>H80*0.5*Metric!$C$19*A80^2*Metric!$G$9</f>
        <v>120.6363355</v>
      </c>
      <c r="D256" s="84"/>
    </row>
    <row r="257" ht="15.75" customHeight="1">
      <c r="D257" s="84"/>
    </row>
    <row r="258" ht="15.75" customHeight="1">
      <c r="D258" s="84"/>
    </row>
    <row r="259" ht="15.75" customHeight="1">
      <c r="D259" s="84"/>
    </row>
    <row r="260" ht="15.75" customHeight="1">
      <c r="D260" s="84"/>
    </row>
    <row r="261" ht="15.75" customHeight="1">
      <c r="D261" s="84"/>
    </row>
    <row r="262" ht="15.75" customHeight="1">
      <c r="D262" s="84"/>
    </row>
    <row r="263" ht="15.75" customHeight="1">
      <c r="D263" s="84"/>
    </row>
    <row r="264" ht="15.75" customHeight="1">
      <c r="D264" s="84"/>
    </row>
    <row r="265" ht="15.75" customHeight="1">
      <c r="D265" s="84"/>
    </row>
    <row r="266" ht="15.75" customHeight="1">
      <c r="D266" s="84"/>
    </row>
    <row r="267" ht="15.75" customHeight="1">
      <c r="D267" s="84"/>
    </row>
    <row r="268" ht="15.75" customHeight="1">
      <c r="D268" s="84"/>
    </row>
    <row r="269" ht="15.75" customHeight="1">
      <c r="D269" s="84"/>
    </row>
    <row r="270" ht="15.75" customHeight="1">
      <c r="D270" s="84"/>
    </row>
    <row r="271" ht="15.75" customHeight="1">
      <c r="D271" s="84"/>
    </row>
    <row r="272" ht="15.75" customHeight="1">
      <c r="D272" s="84"/>
    </row>
    <row r="273" ht="15.75" customHeight="1">
      <c r="D273" s="84"/>
    </row>
    <row r="274" ht="15.75" customHeight="1">
      <c r="D274" s="84"/>
    </row>
    <row r="275" ht="15.75" customHeight="1">
      <c r="D275" s="84"/>
    </row>
    <row r="276" ht="15.75" customHeight="1">
      <c r="D276" s="84"/>
    </row>
    <row r="277" ht="15.75" customHeight="1">
      <c r="D277" s="84"/>
    </row>
    <row r="278" ht="15.75" customHeight="1">
      <c r="D278" s="84"/>
    </row>
    <row r="279" ht="15.75" customHeight="1">
      <c r="D279" s="84"/>
    </row>
    <row r="280" ht="15.75" customHeight="1">
      <c r="D280" s="84"/>
    </row>
    <row r="281" ht="15.75" customHeight="1">
      <c r="D281" s="84"/>
    </row>
    <row r="282" ht="15.75" customHeight="1">
      <c r="D282" s="84"/>
    </row>
    <row r="283" ht="15.75" customHeight="1">
      <c r="D283" s="84"/>
    </row>
    <row r="284" ht="15.75" customHeight="1">
      <c r="D284" s="84"/>
    </row>
    <row r="285" ht="15.75" customHeight="1">
      <c r="D285" s="84"/>
    </row>
    <row r="286" ht="15.75" customHeight="1">
      <c r="D286" s="84"/>
    </row>
    <row r="287" ht="15.75" customHeight="1">
      <c r="D287" s="84"/>
    </row>
    <row r="288" ht="15.75" customHeight="1">
      <c r="D288" s="84"/>
    </row>
    <row r="289" ht="15.75" customHeight="1">
      <c r="D289" s="84"/>
    </row>
    <row r="290" ht="15.75" customHeight="1">
      <c r="D290" s="84"/>
    </row>
    <row r="291" ht="15.75" customHeight="1">
      <c r="D291" s="84"/>
    </row>
    <row r="292" ht="15.75" customHeight="1">
      <c r="D292" s="84"/>
    </row>
    <row r="293" ht="15.75" customHeight="1">
      <c r="D293" s="84"/>
    </row>
    <row r="294" ht="15.75" customHeight="1">
      <c r="D294" s="84"/>
    </row>
    <row r="295" ht="15.75" customHeight="1">
      <c r="D295" s="84"/>
    </row>
    <row r="296" ht="15.75" customHeight="1">
      <c r="D296" s="84"/>
    </row>
    <row r="297" ht="15.75" customHeight="1">
      <c r="D297" s="84"/>
    </row>
    <row r="298" ht="15.75" customHeight="1">
      <c r="D298" s="84"/>
    </row>
    <row r="299" ht="15.75" customHeight="1">
      <c r="D299" s="84"/>
    </row>
    <row r="300" ht="15.75" customHeight="1">
      <c r="D300" s="84"/>
    </row>
    <row r="301" ht="15.75" customHeight="1">
      <c r="D301" s="84"/>
    </row>
    <row r="302" ht="15.75" customHeight="1">
      <c r="D302" s="84"/>
    </row>
    <row r="303" ht="15.75" customHeight="1">
      <c r="D303" s="84"/>
    </row>
    <row r="304" ht="15.75" customHeight="1">
      <c r="D304" s="84"/>
    </row>
    <row r="305" ht="15.75" customHeight="1">
      <c r="D305" s="84"/>
    </row>
    <row r="306" ht="15.75" customHeight="1">
      <c r="D306" s="84"/>
    </row>
    <row r="307" ht="15.75" customHeight="1">
      <c r="D307" s="84"/>
    </row>
    <row r="308" ht="15.75" customHeight="1">
      <c r="D308" s="84"/>
    </row>
    <row r="309" ht="15.75" customHeight="1">
      <c r="D309" s="84"/>
    </row>
    <row r="310" ht="15.75" customHeight="1">
      <c r="D310" s="84"/>
    </row>
    <row r="311" ht="15.75" customHeight="1">
      <c r="D311" s="84"/>
    </row>
    <row r="312" ht="15.75" customHeight="1">
      <c r="D312" s="84"/>
    </row>
    <row r="313" ht="15.75" customHeight="1">
      <c r="D313" s="84"/>
    </row>
    <row r="314" ht="15.75" customHeight="1">
      <c r="D314" s="84"/>
    </row>
    <row r="315" ht="15.75" customHeight="1">
      <c r="D315" s="84"/>
    </row>
    <row r="316" ht="15.75" customHeight="1">
      <c r="D316" s="84"/>
    </row>
    <row r="317" ht="15.75" customHeight="1">
      <c r="D317" s="84"/>
    </row>
    <row r="318" ht="15.75" customHeight="1">
      <c r="D318" s="84"/>
    </row>
    <row r="319" ht="15.75" customHeight="1">
      <c r="D319" s="84"/>
    </row>
    <row r="320" ht="15.75" customHeight="1">
      <c r="D320" s="84"/>
    </row>
    <row r="321" ht="15.75" customHeight="1">
      <c r="D321" s="84"/>
    </row>
    <row r="322" ht="15.75" customHeight="1">
      <c r="D322" s="84"/>
    </row>
    <row r="323" ht="15.75" customHeight="1">
      <c r="D323" s="84"/>
    </row>
    <row r="324" ht="15.75" customHeight="1">
      <c r="D324" s="84"/>
    </row>
    <row r="325" ht="15.75" customHeight="1">
      <c r="D325" s="84"/>
    </row>
    <row r="326" ht="15.75" customHeight="1">
      <c r="D326" s="84"/>
    </row>
    <row r="327" ht="15.75" customHeight="1">
      <c r="D327" s="84"/>
    </row>
    <row r="328" ht="15.75" customHeight="1">
      <c r="D328" s="84"/>
    </row>
    <row r="329" ht="15.75" customHeight="1">
      <c r="D329" s="84"/>
    </row>
    <row r="330" ht="15.75" customHeight="1">
      <c r="D330" s="84"/>
    </row>
    <row r="331" ht="15.75" customHeight="1">
      <c r="D331" s="84"/>
    </row>
    <row r="332" ht="15.75" customHeight="1">
      <c r="D332" s="84"/>
    </row>
    <row r="333" ht="15.75" customHeight="1">
      <c r="D333" s="84"/>
    </row>
    <row r="334" ht="15.75" customHeight="1">
      <c r="D334" s="84"/>
    </row>
    <row r="335" ht="15.75" customHeight="1">
      <c r="D335" s="84"/>
    </row>
    <row r="336" ht="15.75" customHeight="1">
      <c r="D336" s="84"/>
    </row>
    <row r="337" ht="15.75" customHeight="1">
      <c r="D337" s="84"/>
    </row>
    <row r="338" ht="15.75" customHeight="1">
      <c r="D338" s="84"/>
    </row>
    <row r="339" ht="15.75" customHeight="1">
      <c r="D339" s="84"/>
    </row>
    <row r="340" ht="15.75" customHeight="1">
      <c r="D340" s="84"/>
    </row>
    <row r="341" ht="15.75" customHeight="1">
      <c r="D341" s="84"/>
    </row>
    <row r="342" ht="15.75" customHeight="1">
      <c r="D342" s="84"/>
    </row>
    <row r="343" ht="15.75" customHeight="1">
      <c r="D343" s="84"/>
    </row>
    <row r="344" ht="15.75" customHeight="1">
      <c r="D344" s="84"/>
    </row>
    <row r="345" ht="15.75" customHeight="1">
      <c r="D345" s="84"/>
    </row>
    <row r="346" ht="15.75" customHeight="1">
      <c r="D346" s="84"/>
    </row>
    <row r="347" ht="15.75" customHeight="1">
      <c r="D347" s="84"/>
    </row>
    <row r="348" ht="15.75" customHeight="1">
      <c r="D348" s="84"/>
    </row>
    <row r="349" ht="15.75" customHeight="1">
      <c r="D349" s="84"/>
    </row>
    <row r="350" ht="15.75" customHeight="1">
      <c r="D350" s="84"/>
    </row>
    <row r="351" ht="15.75" customHeight="1">
      <c r="D351" s="84"/>
    </row>
    <row r="352" ht="15.75" customHeight="1">
      <c r="D352" s="84"/>
    </row>
    <row r="353" ht="15.75" customHeight="1">
      <c r="D353" s="84"/>
    </row>
    <row r="354" ht="15.75" customHeight="1">
      <c r="D354" s="84"/>
    </row>
    <row r="355" ht="15.75" customHeight="1">
      <c r="D355" s="84"/>
    </row>
    <row r="356" ht="15.75" customHeight="1">
      <c r="D356" s="84"/>
    </row>
    <row r="357" ht="15.75" customHeight="1">
      <c r="D357" s="84"/>
    </row>
    <row r="358" ht="15.75" customHeight="1">
      <c r="D358" s="84"/>
    </row>
    <row r="359" ht="15.75" customHeight="1">
      <c r="D359" s="84"/>
    </row>
    <row r="360" ht="15.75" customHeight="1">
      <c r="D360" s="84"/>
    </row>
    <row r="361" ht="15.75" customHeight="1">
      <c r="D361" s="84"/>
    </row>
    <row r="362" ht="15.75" customHeight="1">
      <c r="D362" s="84"/>
    </row>
    <row r="363" ht="15.75" customHeight="1">
      <c r="D363" s="84"/>
    </row>
    <row r="364" ht="15.75" customHeight="1">
      <c r="D364" s="84"/>
    </row>
    <row r="365" ht="15.75" customHeight="1">
      <c r="D365" s="84"/>
    </row>
    <row r="366" ht="15.75" customHeight="1">
      <c r="D366" s="84"/>
    </row>
    <row r="367" ht="15.75" customHeight="1">
      <c r="D367" s="84"/>
    </row>
    <row r="368" ht="15.75" customHeight="1">
      <c r="D368" s="84"/>
    </row>
    <row r="369" ht="15.75" customHeight="1">
      <c r="D369" s="84"/>
    </row>
    <row r="370" ht="15.75" customHeight="1">
      <c r="D370" s="84"/>
    </row>
    <row r="371" ht="15.75" customHeight="1">
      <c r="D371" s="84"/>
    </row>
    <row r="372" ht="15.75" customHeight="1">
      <c r="D372" s="84"/>
    </row>
    <row r="373" ht="15.75" customHeight="1">
      <c r="D373" s="84"/>
    </row>
    <row r="374" ht="15.75" customHeight="1">
      <c r="D374" s="84"/>
    </row>
    <row r="375" ht="15.75" customHeight="1">
      <c r="D375" s="84"/>
    </row>
    <row r="376" ht="15.75" customHeight="1">
      <c r="D376" s="84"/>
    </row>
    <row r="377" ht="15.75" customHeight="1">
      <c r="D377" s="84"/>
    </row>
    <row r="378" ht="15.75" customHeight="1">
      <c r="D378" s="84"/>
    </row>
    <row r="379" ht="15.75" customHeight="1">
      <c r="D379" s="84"/>
    </row>
    <row r="380" ht="15.75" customHeight="1">
      <c r="D380" s="84"/>
    </row>
    <row r="381" ht="15.75" customHeight="1">
      <c r="D381" s="84"/>
    </row>
    <row r="382" ht="15.75" customHeight="1">
      <c r="D382" s="84"/>
    </row>
    <row r="383" ht="15.75" customHeight="1">
      <c r="D383" s="84"/>
    </row>
    <row r="384" ht="15.75" customHeight="1">
      <c r="D384" s="84"/>
    </row>
    <row r="385" ht="15.75" customHeight="1">
      <c r="D385" s="84"/>
    </row>
    <row r="386" ht="15.75" customHeight="1">
      <c r="D386" s="84"/>
    </row>
    <row r="387" ht="15.75" customHeight="1">
      <c r="D387" s="84"/>
    </row>
    <row r="388" ht="15.75" customHeight="1">
      <c r="D388" s="84"/>
    </row>
    <row r="389" ht="15.75" customHeight="1">
      <c r="D389" s="84"/>
    </row>
    <row r="390" ht="15.75" customHeight="1">
      <c r="D390" s="84"/>
    </row>
    <row r="391" ht="15.75" customHeight="1">
      <c r="D391" s="84"/>
    </row>
    <row r="392" ht="15.75" customHeight="1">
      <c r="D392" s="84"/>
    </row>
    <row r="393" ht="15.75" customHeight="1">
      <c r="D393" s="84"/>
    </row>
    <row r="394" ht="15.75" customHeight="1">
      <c r="D394" s="84"/>
    </row>
    <row r="395" ht="15.75" customHeight="1">
      <c r="D395" s="84"/>
    </row>
    <row r="396" ht="15.75" customHeight="1">
      <c r="D396" s="84"/>
    </row>
    <row r="397" ht="15.75" customHeight="1">
      <c r="D397" s="84"/>
    </row>
    <row r="398" ht="15.75" customHeight="1">
      <c r="D398" s="84"/>
    </row>
    <row r="399" ht="15.75" customHeight="1">
      <c r="D399" s="84"/>
    </row>
    <row r="400" ht="15.75" customHeight="1">
      <c r="D400" s="84"/>
    </row>
    <row r="401" ht="15.75" customHeight="1">
      <c r="D401" s="84"/>
    </row>
    <row r="402" ht="15.75" customHeight="1">
      <c r="D402" s="84"/>
    </row>
    <row r="403" ht="15.75" customHeight="1">
      <c r="D403" s="84"/>
    </row>
    <row r="404" ht="15.75" customHeight="1">
      <c r="D404" s="84"/>
    </row>
    <row r="405" ht="15.75" customHeight="1">
      <c r="D405" s="84"/>
    </row>
    <row r="406" ht="15.75" customHeight="1">
      <c r="D406" s="84"/>
    </row>
    <row r="407" ht="15.75" customHeight="1">
      <c r="D407" s="84"/>
    </row>
    <row r="408" ht="15.75" customHeight="1">
      <c r="D408" s="84"/>
    </row>
    <row r="409" ht="15.75" customHeight="1">
      <c r="D409" s="84"/>
    </row>
    <row r="410" ht="15.75" customHeight="1">
      <c r="D410" s="84"/>
    </row>
    <row r="411" ht="15.75" customHeight="1">
      <c r="D411" s="84"/>
    </row>
    <row r="412" ht="15.75" customHeight="1">
      <c r="D412" s="84"/>
    </row>
    <row r="413" ht="15.75" customHeight="1">
      <c r="D413" s="84"/>
    </row>
    <row r="414" ht="15.75" customHeight="1">
      <c r="D414" s="84"/>
    </row>
    <row r="415" ht="15.75" customHeight="1">
      <c r="D415" s="84"/>
    </row>
    <row r="416" ht="15.75" customHeight="1">
      <c r="D416" s="84"/>
    </row>
    <row r="417" ht="15.75" customHeight="1">
      <c r="D417" s="84"/>
    </row>
    <row r="418" ht="15.75" customHeight="1">
      <c r="D418" s="84"/>
    </row>
    <row r="419" ht="15.75" customHeight="1">
      <c r="D419" s="84"/>
    </row>
    <row r="420" ht="15.75" customHeight="1">
      <c r="D420" s="84"/>
    </row>
    <row r="421" ht="15.75" customHeight="1">
      <c r="D421" s="84"/>
    </row>
    <row r="422" ht="15.75" customHeight="1">
      <c r="D422" s="84"/>
    </row>
    <row r="423" ht="15.75" customHeight="1">
      <c r="D423" s="84"/>
    </row>
    <row r="424" ht="15.75" customHeight="1">
      <c r="D424" s="84"/>
    </row>
    <row r="425" ht="15.75" customHeight="1">
      <c r="D425" s="84"/>
    </row>
    <row r="426" ht="15.75" customHeight="1">
      <c r="D426" s="84"/>
    </row>
    <row r="427" ht="15.75" customHeight="1">
      <c r="D427" s="84"/>
    </row>
    <row r="428" ht="15.75" customHeight="1">
      <c r="D428" s="84"/>
    </row>
    <row r="429" ht="15.75" customHeight="1">
      <c r="D429" s="84"/>
    </row>
    <row r="430" ht="15.75" customHeight="1">
      <c r="D430" s="84"/>
    </row>
    <row r="431" ht="15.75" customHeight="1">
      <c r="D431" s="84"/>
    </row>
    <row r="432" ht="15.75" customHeight="1">
      <c r="D432" s="84"/>
    </row>
    <row r="433" ht="15.75" customHeight="1">
      <c r="D433" s="84"/>
    </row>
    <row r="434" ht="15.75" customHeight="1">
      <c r="D434" s="84"/>
    </row>
    <row r="435" ht="15.75" customHeight="1">
      <c r="D435" s="84"/>
    </row>
    <row r="436" ht="15.75" customHeight="1">
      <c r="D436" s="84"/>
    </row>
    <row r="437" ht="15.75" customHeight="1">
      <c r="D437" s="84"/>
    </row>
    <row r="438" ht="15.75" customHeight="1">
      <c r="D438" s="84"/>
    </row>
    <row r="439" ht="15.75" customHeight="1">
      <c r="D439" s="84"/>
    </row>
    <row r="440" ht="15.75" customHeight="1">
      <c r="D440" s="84"/>
    </row>
    <row r="441" ht="15.75" customHeight="1">
      <c r="D441" s="84"/>
    </row>
    <row r="442" ht="15.75" customHeight="1">
      <c r="D442" s="84"/>
    </row>
    <row r="443" ht="15.75" customHeight="1">
      <c r="D443" s="84"/>
    </row>
    <row r="444" ht="15.75" customHeight="1">
      <c r="D444" s="84"/>
    </row>
    <row r="445" ht="15.75" customHeight="1">
      <c r="D445" s="84"/>
    </row>
    <row r="446" ht="15.75" customHeight="1">
      <c r="D446" s="84"/>
    </row>
    <row r="447" ht="15.75" customHeight="1">
      <c r="D447" s="84"/>
    </row>
    <row r="448" ht="15.75" customHeight="1">
      <c r="D448" s="84"/>
    </row>
    <row r="449" ht="15.75" customHeight="1">
      <c r="D449" s="84"/>
    </row>
    <row r="450" ht="15.75" customHeight="1">
      <c r="D450" s="84"/>
    </row>
    <row r="451" ht="15.75" customHeight="1">
      <c r="D451" s="84"/>
    </row>
    <row r="452" ht="15.75" customHeight="1">
      <c r="D452" s="84"/>
    </row>
    <row r="453" ht="15.75" customHeight="1">
      <c r="D453" s="84"/>
    </row>
    <row r="454" ht="15.75" customHeight="1">
      <c r="D454" s="84"/>
    </row>
    <row r="455" ht="15.75" customHeight="1">
      <c r="D455" s="84"/>
    </row>
    <row r="456" ht="15.75" customHeight="1">
      <c r="D456" s="84"/>
    </row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17.75"/>
    <col customWidth="1" min="3" max="3" width="13.88"/>
    <col customWidth="1" min="4" max="4" width="17.75"/>
    <col customWidth="1" min="5" max="5" width="13.88"/>
    <col customWidth="1" min="6" max="6" width="4.75"/>
    <col customWidth="1" min="8" max="8" width="16.25"/>
    <col customWidth="1" min="9" max="9" width="18.38"/>
  </cols>
  <sheetData>
    <row r="1">
      <c r="A1" s="1" t="s">
        <v>249</v>
      </c>
      <c r="B1" s="1" t="s">
        <v>250</v>
      </c>
      <c r="C1" s="1" t="s">
        <v>251</v>
      </c>
      <c r="D1" s="1" t="s">
        <v>252</v>
      </c>
      <c r="E1" s="1" t="s">
        <v>253</v>
      </c>
      <c r="F1" s="1" t="s">
        <v>254</v>
      </c>
      <c r="G1" s="1" t="s">
        <v>255</v>
      </c>
      <c r="H1" s="1" t="s">
        <v>256</v>
      </c>
      <c r="I1" s="1" t="s">
        <v>257</v>
      </c>
      <c r="J1" s="1" t="s">
        <v>258</v>
      </c>
    </row>
    <row r="2">
      <c r="A2" s="1">
        <v>1.0</v>
      </c>
      <c r="B2" s="1" t="s">
        <v>259</v>
      </c>
      <c r="C2" s="1">
        <v>925.0</v>
      </c>
      <c r="D2" s="1">
        <v>5.0</v>
      </c>
      <c r="E2" s="1">
        <v>0.29</v>
      </c>
      <c r="F2" s="1">
        <v>90.0</v>
      </c>
      <c r="H2">
        <f t="shared" ref="H2:H13" si="1">C2/E2</f>
        <v>3189.655172</v>
      </c>
      <c r="J2" s="130" t="s">
        <v>260</v>
      </c>
    </row>
    <row r="3">
      <c r="A3" s="1">
        <v>2.0</v>
      </c>
      <c r="B3" s="1" t="s">
        <v>261</v>
      </c>
      <c r="C3" s="1">
        <v>925.0</v>
      </c>
      <c r="D3" s="1">
        <v>4.0</v>
      </c>
      <c r="E3" s="1">
        <v>0.198</v>
      </c>
      <c r="H3">
        <f t="shared" si="1"/>
        <v>4671.717172</v>
      </c>
    </row>
    <row r="4">
      <c r="A4" s="1">
        <v>3.0</v>
      </c>
      <c r="B4" s="1" t="s">
        <v>262</v>
      </c>
      <c r="C4" s="1">
        <v>1110.0</v>
      </c>
      <c r="D4" s="1">
        <v>5.0</v>
      </c>
      <c r="E4" s="1">
        <v>0.268</v>
      </c>
      <c r="H4">
        <f t="shared" si="1"/>
        <v>4141.791045</v>
      </c>
      <c r="J4" s="130" t="s">
        <v>263</v>
      </c>
    </row>
    <row r="5">
      <c r="A5" s="1">
        <v>4.0</v>
      </c>
      <c r="B5" s="1" t="s">
        <v>264</v>
      </c>
      <c r="C5" s="1">
        <v>800.0</v>
      </c>
      <c r="E5" s="1">
        <v>0.317</v>
      </c>
      <c r="H5">
        <f t="shared" si="1"/>
        <v>2523.659306</v>
      </c>
    </row>
    <row r="6">
      <c r="A6" s="1">
        <v>5.0</v>
      </c>
      <c r="B6" s="1" t="s">
        <v>265</v>
      </c>
      <c r="C6" s="1">
        <v>1180.0</v>
      </c>
      <c r="E6" s="1">
        <v>0.296</v>
      </c>
      <c r="F6" s="1">
        <v>149.9</v>
      </c>
      <c r="H6">
        <f t="shared" si="1"/>
        <v>3986.486486</v>
      </c>
    </row>
    <row r="7">
      <c r="A7" s="1">
        <v>6.0</v>
      </c>
      <c r="B7" s="1" t="s">
        <v>266</v>
      </c>
      <c r="C7" s="1">
        <v>3000.0</v>
      </c>
      <c r="E7" s="1">
        <v>0.815</v>
      </c>
      <c r="F7" s="1">
        <v>349.9</v>
      </c>
      <c r="H7">
        <f t="shared" si="1"/>
        <v>3680.981595</v>
      </c>
    </row>
    <row r="8">
      <c r="A8" s="1">
        <v>7.0</v>
      </c>
      <c r="B8" s="1" t="s">
        <v>267</v>
      </c>
      <c r="C8" s="1">
        <v>1300.0</v>
      </c>
      <c r="E8" s="1">
        <v>0.225</v>
      </c>
      <c r="F8" s="1">
        <v>110.0</v>
      </c>
      <c r="H8">
        <f t="shared" si="1"/>
        <v>5777.777778</v>
      </c>
    </row>
    <row r="9">
      <c r="A9" s="131"/>
      <c r="B9" s="132" t="s">
        <v>268</v>
      </c>
      <c r="C9" s="132">
        <v>1200.0</v>
      </c>
      <c r="D9" s="131"/>
      <c r="E9" s="132">
        <v>0.225</v>
      </c>
      <c r="F9" s="131"/>
      <c r="G9" s="131"/>
      <c r="H9" s="131">
        <f t="shared" si="1"/>
        <v>5333.333333</v>
      </c>
      <c r="I9" s="132" t="s">
        <v>269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</row>
    <row r="10">
      <c r="A10" s="131"/>
      <c r="B10" s="132" t="s">
        <v>270</v>
      </c>
      <c r="C10" s="132">
        <v>1100.0</v>
      </c>
      <c r="D10" s="131"/>
      <c r="E10" s="132">
        <v>0.339</v>
      </c>
      <c r="F10" s="132">
        <v>79.0</v>
      </c>
      <c r="G10" s="131"/>
      <c r="H10" s="131">
        <f t="shared" si="1"/>
        <v>3244.837758</v>
      </c>
      <c r="I10" s="131"/>
      <c r="J10" s="131"/>
      <c r="K10" s="132" t="s">
        <v>271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>
      <c r="H11" t="str">
        <f t="shared" si="1"/>
        <v>#DIV/0!</v>
      </c>
    </row>
    <row r="12">
      <c r="H12" t="str">
        <f t="shared" si="1"/>
        <v>#DIV/0!</v>
      </c>
    </row>
    <row r="13">
      <c r="H13" t="str">
        <f t="shared" si="1"/>
        <v>#DIV/0!</v>
      </c>
    </row>
  </sheetData>
  <hyperlinks>
    <hyperlink r:id="rId1" ref="J2"/>
    <hyperlink r:id="rId2" ref="J4"/>
  </hyperlin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19.13"/>
  </cols>
  <sheetData>
    <row r="2">
      <c r="B2" s="85" t="s">
        <v>272</v>
      </c>
      <c r="C2" s="5"/>
      <c r="D2" s="6"/>
    </row>
    <row r="3">
      <c r="B3" s="41" t="s">
        <v>231</v>
      </c>
      <c r="C3" s="13">
        <v>59.0</v>
      </c>
      <c r="D3" s="14" t="s">
        <v>9</v>
      </c>
    </row>
    <row r="4">
      <c r="B4" s="41" t="s">
        <v>233</v>
      </c>
      <c r="C4" s="13">
        <v>1.0</v>
      </c>
      <c r="D4" s="14" t="s">
        <v>16</v>
      </c>
    </row>
    <row r="5">
      <c r="B5" s="12" t="s">
        <v>21</v>
      </c>
      <c r="C5" s="13">
        <v>3.0</v>
      </c>
      <c r="D5" s="14" t="s">
        <v>22</v>
      </c>
    </row>
    <row r="6">
      <c r="B6" s="12" t="s">
        <v>28</v>
      </c>
      <c r="C6" s="13">
        <v>10.0</v>
      </c>
      <c r="D6" s="14" t="s">
        <v>22</v>
      </c>
    </row>
    <row r="9">
      <c r="B9" s="85" t="s">
        <v>273</v>
      </c>
      <c r="C9" s="5"/>
      <c r="D9" s="6"/>
    </row>
    <row r="10">
      <c r="B10" s="123" t="s">
        <v>238</v>
      </c>
      <c r="C10" s="133">
        <v>15.0</v>
      </c>
      <c r="D10" s="55" t="s">
        <v>9</v>
      </c>
    </row>
    <row r="11">
      <c r="B11" s="128"/>
      <c r="C11" s="128"/>
      <c r="D11" s="76"/>
    </row>
    <row r="12">
      <c r="B12" s="85" t="s">
        <v>240</v>
      </c>
      <c r="C12" s="5"/>
      <c r="D12" s="6"/>
    </row>
    <row r="13">
      <c r="B13" s="89" t="s">
        <v>238</v>
      </c>
      <c r="C13" s="110">
        <v>8.0</v>
      </c>
      <c r="D13" s="89" t="s">
        <v>9</v>
      </c>
    </row>
    <row r="14">
      <c r="B14" s="41" t="s">
        <v>241</v>
      </c>
      <c r="C14" s="13">
        <v>59.0</v>
      </c>
      <c r="D14" s="14" t="s">
        <v>9</v>
      </c>
    </row>
    <row r="15">
      <c r="B15" s="41" t="s">
        <v>242</v>
      </c>
      <c r="C15" s="13">
        <v>1.0</v>
      </c>
      <c r="D15" s="14" t="s">
        <v>16</v>
      </c>
    </row>
    <row r="17">
      <c r="B17" s="85" t="s">
        <v>243</v>
      </c>
      <c r="C17" s="5"/>
      <c r="D17" s="6"/>
    </row>
    <row r="18">
      <c r="B18" s="89" t="s">
        <v>244</v>
      </c>
      <c r="C18" s="110">
        <v>1.0</v>
      </c>
      <c r="D18" s="89" t="s">
        <v>9</v>
      </c>
    </row>
    <row r="19">
      <c r="B19" s="89" t="s">
        <v>245</v>
      </c>
      <c r="C19" s="110">
        <v>10.0</v>
      </c>
      <c r="D19" s="89" t="s">
        <v>9</v>
      </c>
    </row>
    <row r="20">
      <c r="B20" s="41" t="s">
        <v>241</v>
      </c>
      <c r="C20" s="13">
        <v>59.0</v>
      </c>
      <c r="D20" s="14" t="s">
        <v>9</v>
      </c>
    </row>
    <row r="21">
      <c r="B21" s="41" t="s">
        <v>242</v>
      </c>
      <c r="C21" s="13">
        <v>1.0</v>
      </c>
      <c r="D21" s="14" t="s">
        <v>16</v>
      </c>
    </row>
    <row r="22">
      <c r="B22" s="41" t="s">
        <v>246</v>
      </c>
      <c r="C22" s="134">
        <v>1.5</v>
      </c>
      <c r="D22" s="135" t="s">
        <v>9</v>
      </c>
    </row>
  </sheetData>
  <mergeCells count="4">
    <mergeCell ref="B2:D2"/>
    <mergeCell ref="B9:D9"/>
    <mergeCell ref="B12:D12"/>
    <mergeCell ref="B17:D17"/>
  </mergeCells>
  <drawing r:id="rId2"/>
  <legacyDrawing r:id="rId3"/>
</worksheet>
</file>